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945" windowHeight="12645" activeTab="1"/>
  </bookViews>
  <sheets>
    <sheet name="Table 1" sheetId="1" r:id="rId1"/>
    <sheet name="Table 2" sheetId="2" r:id="rId2"/>
  </sheets>
  <externalReferences>
    <externalReference r:id="rId5"/>
  </externalReferences>
  <definedNames>
    <definedName name="_xlnm.Print_Area" localSheetId="0">'Table 1'!$A$1:$W$60</definedName>
    <definedName name="_xlnm.Print_Area" localSheetId="1">'Table 2'!$A$1:$Y$183</definedName>
    <definedName name="_xlnm.Print_Titles" localSheetId="0">'Table 1'!$A:$D,'Table 1'!$1:$2</definedName>
    <definedName name="_xlnm.Print_Titles" localSheetId="1">'Table 2'!$A:$D,'Table 2'!$1:$2</definedName>
    <definedName name="stock1">'[1]TE Q'!$E$75:$BO$75</definedName>
  </definedNames>
  <calcPr fullCalcOnLoad="1"/>
</workbook>
</file>

<file path=xl/sharedStrings.xml><?xml version="1.0" encoding="utf-8"?>
<sst xmlns="http://schemas.openxmlformats.org/spreadsheetml/2006/main" count="90" uniqueCount="77">
  <si>
    <t>Average</t>
  </si>
  <si>
    <t>1991-2000</t>
  </si>
  <si>
    <t>2001-2005</t>
  </si>
  <si>
    <t>1991-2005</t>
  </si>
  <si>
    <t>Used For:</t>
  </si>
  <si>
    <t xml:space="preserve">    As a share of outlays for residential improvements (NIPA) </t>
  </si>
  <si>
    <t xml:space="preserve">    As a share of total PCE</t>
  </si>
  <si>
    <t>Memo:</t>
  </si>
  <si>
    <t xml:space="preserve">   As a share of total PCE</t>
  </si>
  <si>
    <t>Unscheduled regular mortgage payments</t>
  </si>
  <si>
    <t>Gross equity extraction</t>
  </si>
  <si>
    <t>Equity Extracted Through Home Sales</t>
  </si>
  <si>
    <t xml:space="preserve">   Sellers' debt cancellation</t>
  </si>
  <si>
    <t xml:space="preserve">    + Cash used to purchase existing homes</t>
  </si>
  <si>
    <t xml:space="preserve">    = Net proceeds available to sellers of existing homes</t>
  </si>
  <si>
    <t xml:space="preserve">       Used for:</t>
  </si>
  <si>
    <t>Fixed parameters:</t>
  </si>
  <si>
    <t xml:space="preserve">   Commission rate on existing homes</t>
  </si>
  <si>
    <t>Points, share of loan amount (FHFB, new and existing homes)</t>
  </si>
  <si>
    <t>Closing costs and points on new homes</t>
  </si>
  <si>
    <t>Home Equity Loans</t>
  </si>
  <si>
    <t>Level of home equity lines of credit (FOF)</t>
  </si>
  <si>
    <t>Shares of Closed-end loans used for:</t>
  </si>
  <si>
    <t>Repayment of non-mortgage debt</t>
  </si>
  <si>
    <t xml:space="preserve">Home improvements </t>
  </si>
  <si>
    <t>PCE</t>
  </si>
  <si>
    <t>Real estate and business expenses</t>
  </si>
  <si>
    <t>Shares of lines of credit used for:</t>
  </si>
  <si>
    <t>Memo: costs of obtaining HE loans as a share of loan amount</t>
  </si>
  <si>
    <t>Closed-end</t>
  </si>
  <si>
    <t>HELOCS</t>
  </si>
  <si>
    <t>Cash Out Refinancings</t>
  </si>
  <si>
    <t>Repayments resulting from refinancings (first liens)</t>
  </si>
  <si>
    <t>Used for:</t>
  </si>
  <si>
    <t>GCO share, no-cash out loans (inferred from Freddie Mac data)</t>
  </si>
  <si>
    <t>1998:Q1-1999:Q1</t>
  </si>
  <si>
    <t>2001:Q1-2002:Q2</t>
  </si>
  <si>
    <t>Share of Free Cash Used for</t>
  </si>
  <si>
    <t>(a)</t>
  </si>
  <si>
    <t>Repayment of nonmortgage debt</t>
  </si>
  <si>
    <t>(b)</t>
  </si>
  <si>
    <t>Home improvements</t>
  </si>
  <si>
    <t>(c)</t>
  </si>
  <si>
    <t>(d)</t>
  </si>
  <si>
    <t>Stock market and other investments</t>
  </si>
  <si>
    <t>(e)</t>
  </si>
  <si>
    <t>Real estate, business investment, or taxes</t>
  </si>
  <si>
    <t xml:space="preserve">      As percent of disposable income</t>
  </si>
  <si>
    <t xml:space="preserve">   As percent of disposable income</t>
  </si>
  <si>
    <t>Disposable income (NSA)</t>
  </si>
  <si>
    <t xml:space="preserve">   NIPA personal saving</t>
  </si>
  <si>
    <t xml:space="preserve">      NIPA savings rate, percent</t>
  </si>
  <si>
    <t>PCE financed by Equity Extraction:</t>
  </si>
  <si>
    <t xml:space="preserve">   As a percent of disposable income</t>
  </si>
  <si>
    <t>NIPA personal saving plus:</t>
  </si>
  <si>
    <t>NIPA personal saving rate plus:</t>
  </si>
  <si>
    <t xml:space="preserve">   Sellers' debt cancellation </t>
  </si>
  <si>
    <t>Value of existing homes sold by type:</t>
  </si>
  <si>
    <t>Sellers' debt cancellation by type:</t>
  </si>
  <si>
    <t>Repeat buyers' share of home purchases (AHS &amp; Chicago Title)</t>
  </si>
  <si>
    <t>Fixed share:</t>
  </si>
  <si>
    <t>Value of existing homes sold (implied)</t>
  </si>
  <si>
    <t xml:space="preserve">   Closing costs on existing homes paid in cash</t>
  </si>
  <si>
    <t xml:space="preserve">   Net proceeds available to sellers of </t>
  </si>
  <si>
    <t>Decomposition of the net proceeds available to sellers of</t>
  </si>
  <si>
    <t xml:space="preserve">   existing homes:</t>
  </si>
  <si>
    <t>Rental/vacant share of the value of homes purchased</t>
  </si>
  <si>
    <t xml:space="preserve">Distribution of Equity Extraction to Consumer Spending, Home improvements, Investments, and Debt Repayment </t>
  </si>
  <si>
    <t xml:space="preserve">    As a share of consumer credit debt outstanding, beg. of year</t>
  </si>
  <si>
    <t xml:space="preserve">   As a share of HE debt outstanding, end of previous year</t>
  </si>
  <si>
    <t>Value of existing home sales (implied)</t>
  </si>
  <si>
    <t>Value of new home sales (implied)</t>
  </si>
  <si>
    <t>Level of home equity loans outstanding (FOF)</t>
  </si>
  <si>
    <t>Level of closed-end home equity loans (FOF)</t>
  </si>
  <si>
    <t>1. HE repayment from other EE (equity extraction): repayments of home equity loans from the proceeds of home sales or cash our refinancings.</t>
  </si>
  <si>
    <t>Gross equity extraction, PCE, and the Savings Rate</t>
  </si>
  <si>
    <t>1991-2006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</si>
</sst>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#,##0.0"/>
    <numFmt numFmtId="166" formatCode="0.00000"/>
    <numFmt numFmtId="167" formatCode="0.0000"/>
    <numFmt numFmtId="168" formatCode="#,##0.0000"/>
    <numFmt numFmtId="169" formatCode="#,##0.000"/>
    <numFmt numFmtId="170" formatCode="0.0000000"/>
    <numFmt numFmtId="171" formatCode="0.000000"/>
    <numFmt numFmtId="172" formatCode="0.000"/>
    <numFmt numFmtId="173" formatCode="0.0"/>
    <numFmt numFmtId="174" formatCode="#,##0.0_);[Red]\(#,##0.0\)"/>
    <numFmt numFmtId="175" formatCode="0.0000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&quot;$&quot;#,##0.000000_);\(&quot;$&quot;#,##0.000000\)"/>
    <numFmt numFmtId="182" formatCode="#,##0.0_);\(#,##0.0\)"/>
    <numFmt numFmtId="183" formatCode="_(* #,##0.000_);_(* \(#,##0.000\);_(* &quot;-&quot;??_);_(@_)"/>
    <numFmt numFmtId="184" formatCode="_(* #,##0.0000_);_(* \(#,##0.0000\);_(* &quot;-&quot;??_);_(@_)"/>
    <numFmt numFmtId="185" formatCode="0.0000_);\(0.0000\)"/>
    <numFmt numFmtId="186" formatCode="mm/dd/yy"/>
    <numFmt numFmtId="187" formatCode="0.0_);\(0.0\)"/>
    <numFmt numFmtId="188" formatCode="0.00_);\(0.00\)"/>
    <numFmt numFmtId="189" formatCode="0.000_);\(0.000\)"/>
    <numFmt numFmtId="190" formatCode="0.00000_);\(0.00000\)"/>
    <numFmt numFmtId="191" formatCode="0.000000_);\(0.000000\)"/>
    <numFmt numFmtId="192" formatCode="0.0000000_);\(0.0000000\)"/>
    <numFmt numFmtId="193" formatCode="0.00000000_);\(0.00000000\)"/>
    <numFmt numFmtId="194" formatCode="0.000000000_);\(0.000000000\)"/>
    <numFmt numFmtId="195" formatCode="0.000000000"/>
    <numFmt numFmtId="196" formatCode="&quot;$&quot;#,##0.0000"/>
    <numFmt numFmtId="197" formatCode="#,##0.000_);[Red]\(#,##0.000\)"/>
    <numFmt numFmtId="198" formatCode="#,##0.0000_);[Red]\(#,##0.0000\)"/>
    <numFmt numFmtId="199" formatCode="0.00000000000000"/>
    <numFmt numFmtId="200" formatCode="0.0000000000000"/>
    <numFmt numFmtId="201" formatCode="0.000000000000"/>
    <numFmt numFmtId="202" formatCode="0.00000000000"/>
    <numFmt numFmtId="203" formatCode="0.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.0000000000"/>
    <numFmt numFmtId="208" formatCode="_(* #,##0.0_);_(* \(#,##0.0\);_(* &quot;-&quot;??_);_(@_)"/>
    <numFmt numFmtId="209" formatCode="_(* #,##0_);_(* \(#,##0\);_(* &quot;-&quot;??_);_(@_)"/>
    <numFmt numFmtId="210" formatCode="_(&quot;$&quot;* #,##0.000_);_(&quot;$&quot;* \(#,##0.000\);_(&quot;$&quot;* &quot;-&quot;???_);_(@_)"/>
    <numFmt numFmtId="211" formatCode="&quot;$&quot;#,##0.00"/>
    <numFmt numFmtId="212" formatCode="[$-409]dddd\,\ mmmm\ dd\,\ yyyy"/>
    <numFmt numFmtId="213" formatCode="m/d/yy;@"/>
    <numFmt numFmtId="214" formatCode="_(* #,##0.000_);_(* \(#,##0.000\);_(* &quot;-&quot;???_);_(@_)"/>
    <numFmt numFmtId="215" formatCode="&quot;$&quot;#,##0.0"/>
    <numFmt numFmtId="216" formatCode="#,##0.00000000000000"/>
    <numFmt numFmtId="217" formatCode="#,##0.0000000000000"/>
    <numFmt numFmtId="218" formatCode="#,##0.000000000000"/>
    <numFmt numFmtId="219" formatCode="#,##0.00000000000"/>
    <numFmt numFmtId="220" formatCode="[$€-2]\ #,##0.00_);[Red]\([$€-2]\ #,##0.00\)"/>
    <numFmt numFmtId="221" formatCode="0.0%"/>
    <numFmt numFmtId="222" formatCode="#,##0.00;[Red]#,##0.00"/>
    <numFmt numFmtId="223" formatCode="#,##0;[Red]#,##0"/>
    <numFmt numFmtId="224" formatCode="0;[Red]0"/>
    <numFmt numFmtId="225" formatCode="0.000000000000000"/>
    <numFmt numFmtId="226" formatCode="General_)"/>
  </numFmts>
  <fonts count="10"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164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Continuous"/>
    </xf>
    <xf numFmtId="1" fontId="0" fillId="0" borderId="1" xfId="0" applyNumberFormat="1" applyFont="1" applyFill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left"/>
    </xf>
    <xf numFmtId="16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68" fontId="0" fillId="0" borderId="0" xfId="0" applyNumberFormat="1" applyFont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/>
    </xf>
    <xf numFmtId="168" fontId="0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/>
    </xf>
    <xf numFmtId="173" fontId="0" fillId="0" borderId="0" xfId="0" applyNumberFormat="1" applyFont="1" applyBorder="1" applyAlignment="1">
      <alignment horizontal="right"/>
    </xf>
    <xf numFmtId="165" fontId="4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173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73" fontId="3" fillId="0" borderId="0" xfId="0" applyNumberFormat="1" applyFont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3" fontId="4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Border="1" applyAlignment="1">
      <alignment horizontal="right"/>
    </xf>
    <xf numFmtId="172" fontId="4" fillId="0" borderId="0" xfId="0" applyNumberFormat="1" applyFont="1" applyFill="1" applyAlignment="1">
      <alignment/>
    </xf>
    <xf numFmtId="167" fontId="0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167" fontId="3" fillId="0" borderId="0" xfId="0" applyNumberFormat="1" applyFont="1" applyBorder="1" applyAlignment="1">
      <alignment/>
    </xf>
    <xf numFmtId="173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67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7" fontId="4" fillId="0" borderId="0" xfId="0" applyNumberFormat="1" applyFont="1" applyFill="1" applyBorder="1" applyAlignment="1" quotePrefix="1">
      <alignment horizontal="right"/>
    </xf>
    <xf numFmtId="167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 horizontal="left"/>
    </xf>
    <xf numFmtId="168" fontId="3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8" fontId="4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165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7" fontId="0" fillId="0" borderId="5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Continuous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left"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right"/>
    </xf>
    <xf numFmtId="17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2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22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172" fontId="6" fillId="0" borderId="0" xfId="0" applyNumberFormat="1" applyFont="1" applyAlignment="1">
      <alignment/>
    </xf>
    <xf numFmtId="172" fontId="6" fillId="0" borderId="0" xfId="0" applyNumberFormat="1" applyFont="1" applyFill="1" applyAlignment="1">
      <alignment/>
    </xf>
    <xf numFmtId="169" fontId="0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\HMDA%20SMLA\mortgage%20originations%2005.01.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tfame"/>
      <sheetName val="getfame"/>
      <sheetName val="SA Data"/>
      <sheetName val="Chart1"/>
      <sheetName val="Links"/>
      <sheetName val="Forecast"/>
      <sheetName val="Quarterly"/>
      <sheetName val="Annual"/>
      <sheetName val="Q Extract"/>
      <sheetName val="A Extract"/>
      <sheetName val="TE Q"/>
      <sheetName val="TE A"/>
      <sheetName val="new exi Q"/>
      <sheetName val="new exi Ann"/>
      <sheetName val="Con cred"/>
      <sheetName val="BEA"/>
      <sheetName val="BEA val sal"/>
      <sheetName val="Acq Fin Assets"/>
      <sheetName val="Acq Fin Assets MA"/>
      <sheetName val="AHS"/>
      <sheetName val="Q Check"/>
      <sheetName val="A Check"/>
      <sheetName val="Matrix"/>
      <sheetName val="repay ratios"/>
      <sheetName val="fofsrateq"/>
      <sheetName val="fofsratea"/>
      <sheetName val="S Rate"/>
      <sheetName val="S Rates &amp; EE"/>
      <sheetName val="FOF liab yd"/>
      <sheetName val="Paper tab"/>
      <sheetName val="1 GEE 3 SA"/>
      <sheetName val="2 GEE NEE SA"/>
      <sheetName val="3 GEE Yd SA"/>
      <sheetName val="4 r rates a"/>
      <sheetName val="5 O decmp Q SA"/>
      <sheetName val="6 pur ref orig Q sa"/>
      <sheetName val="7 Value A"/>
      <sheetName val="8 repay resid A"/>
      <sheetName val="B-1 O by type"/>
      <sheetName val="F-1 refi shrs"/>
      <sheetName val="E-1 WACs"/>
      <sheetName val="mort shr"/>
      <sheetName val="GSE pur a"/>
      <sheetName val="FRE"/>
      <sheetName val="M&amp;A a"/>
      <sheetName val="pg&amp;pp o A"/>
      <sheetName val="refi shrs loan type"/>
      <sheetName val="gse adj"/>
      <sheetName val="gse adj a"/>
      <sheetName val="s o+p Q"/>
      <sheetName val="Turn"/>
      <sheetName val="Parameters"/>
      <sheetName val="GCO orig"/>
    </sheetNames>
    <sheetDataSet>
      <sheetData sheetId="10">
        <row r="75">
          <cell r="E75">
            <v>79.67193342469373</v>
          </cell>
          <cell r="F75">
            <v>79.88554745798139</v>
          </cell>
          <cell r="G75">
            <v>80.1250546842524</v>
          </cell>
          <cell r="H75">
            <v>80.35364215691028</v>
          </cell>
          <cell r="I75">
            <v>80.50189033583183</v>
          </cell>
          <cell r="J75">
            <v>80.66986439066392</v>
          </cell>
          <cell r="K75">
            <v>80.86965445846859</v>
          </cell>
          <cell r="L75">
            <v>81.07604463123937</v>
          </cell>
          <cell r="M75">
            <v>81.23848160892375</v>
          </cell>
          <cell r="N75">
            <v>81.4423373681193</v>
          </cell>
          <cell r="O75">
            <v>81.67429119943523</v>
          </cell>
          <cell r="P75">
            <v>81.91822905383552</v>
          </cell>
          <cell r="Q75">
            <v>82.09406993930861</v>
          </cell>
          <cell r="R75">
            <v>82.30782290433896</v>
          </cell>
          <cell r="S75">
            <v>82.5502689928868</v>
          </cell>
          <cell r="T75">
            <v>82.82559385839035</v>
          </cell>
          <cell r="U75">
            <v>83.03218106146116</v>
          </cell>
          <cell r="V75">
            <v>83.29236497093044</v>
          </cell>
          <cell r="W75">
            <v>83.56851878844498</v>
          </cell>
          <cell r="X75">
            <v>83.85993452905076</v>
          </cell>
          <cell r="Y75">
            <v>84.07300456178623</v>
          </cell>
          <cell r="Z75">
            <v>84.30106805950534</v>
          </cell>
          <cell r="AA75">
            <v>84.5437175254756</v>
          </cell>
          <cell r="AB75">
            <v>84.80214566671287</v>
          </cell>
          <cell r="AC75">
            <v>85.00074459387952</v>
          </cell>
          <cell r="AD75">
            <v>85.23444422158259</v>
          </cell>
          <cell r="AE75">
            <v>85.50752699947179</v>
          </cell>
          <cell r="AF75">
            <v>85.80427323597208</v>
          </cell>
          <cell r="AG75">
            <v>86.02377109935408</v>
          </cell>
          <cell r="AH75">
            <v>86.26425921380441</v>
          </cell>
          <cell r="AI75">
            <v>86.51902708419752</v>
          </cell>
          <cell r="AJ75">
            <v>86.79516757065542</v>
          </cell>
          <cell r="AK75">
            <v>86.9881619868701</v>
          </cell>
          <cell r="AL75">
            <v>87.22843190587668</v>
          </cell>
          <cell r="AM75">
            <v>87.50365868992372</v>
          </cell>
          <cell r="AN75">
            <v>87.79481886057877</v>
          </cell>
          <cell r="AO75">
            <v>88.0329214511485</v>
          </cell>
          <cell r="AP75">
            <v>88.31530499042293</v>
          </cell>
          <cell r="AQ75">
            <v>88.61154733792772</v>
          </cell>
          <cell r="AR75">
            <v>88.93214156425876</v>
          </cell>
          <cell r="AS75">
            <v>89.17657549347663</v>
          </cell>
          <cell r="AT75">
            <v>89.45288720572991</v>
          </cell>
          <cell r="AU75">
            <v>89.73086076212704</v>
          </cell>
          <cell r="AV75">
            <v>90.03259533174598</v>
          </cell>
          <cell r="AW75">
            <v>90.25167903408011</v>
          </cell>
          <cell r="AX75">
            <v>90.52705319456308</v>
          </cell>
          <cell r="AY75">
            <v>90.8280896679658</v>
          </cell>
          <cell r="AZ75">
            <v>91.16147562313182</v>
          </cell>
          <cell r="BA75">
            <v>91.40989488532026</v>
          </cell>
          <cell r="BB75">
            <v>91.69628993787761</v>
          </cell>
          <cell r="BC75">
            <v>92.00854179290867</v>
          </cell>
          <cell r="BD75">
            <v>92.34953752201223</v>
          </cell>
          <cell r="BE75">
            <v>92.59996275325122</v>
          </cell>
          <cell r="BF75">
            <v>92.90176277187462</v>
          </cell>
          <cell r="BG75">
            <v>93.22831189048867</v>
          </cell>
          <cell r="BH75">
            <v>93.59699773454344</v>
          </cell>
          <cell r="BI75">
            <v>93.87279923567617</v>
          </cell>
          <cell r="BJ75">
            <v>94.23036283605833</v>
          </cell>
          <cell r="BK75">
            <v>94.60234765464031</v>
          </cell>
          <cell r="BL75">
            <v>94.99904648081299</v>
          </cell>
          <cell r="BM75">
            <v>95.30504695757259</v>
          </cell>
          <cell r="BN75">
            <v>95.68979443409381</v>
          </cell>
          <cell r="BO75">
            <v>96.08904953687677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zoomScale="90" zoomScaleNormal="90" workbookViewId="0" topLeftCell="A1">
      <pane xSplit="5" ySplit="2" topLeftCell="L3" activePane="bottomRight" state="frozen"/>
      <selection pane="topLeft" activeCell="T12" sqref="T12"/>
      <selection pane="topRight" activeCell="T12" sqref="T12"/>
      <selection pane="bottomLeft" activeCell="T12" sqref="T12"/>
      <selection pane="bottomRight" activeCell="U4" sqref="U4"/>
    </sheetView>
  </sheetViews>
  <sheetFormatPr defaultColWidth="8.88671875" defaultRowHeight="15"/>
  <cols>
    <col min="1" max="1" width="4.3359375" style="126" customWidth="1"/>
    <col min="2" max="2" width="22.6640625" style="0" customWidth="1"/>
    <col min="3" max="3" width="16.5546875" style="0" customWidth="1"/>
    <col min="4" max="4" width="11.6640625" style="0" customWidth="1"/>
    <col min="5" max="5" width="8.99609375" style="0" hidden="1" customWidth="1"/>
    <col min="6" max="6" width="12.3359375" style="0" bestFit="1" customWidth="1"/>
    <col min="17" max="18" width="9.4453125" style="0" customWidth="1"/>
    <col min="22" max="22" width="2.88671875" style="0" customWidth="1"/>
    <col min="23" max="23" width="10.21484375" style="0" customWidth="1"/>
  </cols>
  <sheetData>
    <row r="1" spans="1:23" s="115" customFormat="1" ht="15" customHeight="1">
      <c r="A1" s="1"/>
      <c r="B1" s="111"/>
      <c r="C1" s="112"/>
      <c r="D1" s="112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4" t="s">
        <v>0</v>
      </c>
    </row>
    <row r="2" spans="1:23" ht="15" customHeight="1" thickBot="1">
      <c r="A2" s="8"/>
      <c r="B2" s="116"/>
      <c r="C2" s="117"/>
      <c r="D2" s="117"/>
      <c r="E2" s="118">
        <f>1990</f>
        <v>1990</v>
      </c>
      <c r="F2" s="118">
        <f aca="true" t="shared" si="0" ref="F2:T2">E2+1</f>
        <v>1991</v>
      </c>
      <c r="G2" s="118">
        <f t="shared" si="0"/>
        <v>1992</v>
      </c>
      <c r="H2" s="118">
        <f t="shared" si="0"/>
        <v>1993</v>
      </c>
      <c r="I2" s="118">
        <f t="shared" si="0"/>
        <v>1994</v>
      </c>
      <c r="J2" s="118">
        <f t="shared" si="0"/>
        <v>1995</v>
      </c>
      <c r="K2" s="118">
        <f t="shared" si="0"/>
        <v>1996</v>
      </c>
      <c r="L2" s="118">
        <f t="shared" si="0"/>
        <v>1997</v>
      </c>
      <c r="M2" s="118">
        <f t="shared" si="0"/>
        <v>1998</v>
      </c>
      <c r="N2" s="118">
        <f t="shared" si="0"/>
        <v>1999</v>
      </c>
      <c r="O2" s="118">
        <f t="shared" si="0"/>
        <v>2000</v>
      </c>
      <c r="P2" s="118">
        <f t="shared" si="0"/>
        <v>2001</v>
      </c>
      <c r="Q2" s="118">
        <f t="shared" si="0"/>
        <v>2002</v>
      </c>
      <c r="R2" s="118">
        <f t="shared" si="0"/>
        <v>2003</v>
      </c>
      <c r="S2" s="118">
        <f t="shared" si="0"/>
        <v>2004</v>
      </c>
      <c r="T2" s="118">
        <f t="shared" si="0"/>
        <v>2005</v>
      </c>
      <c r="U2" s="118">
        <f>T2+1</f>
        <v>2006</v>
      </c>
      <c r="V2" s="118"/>
      <c r="W2" s="119" t="s">
        <v>76</v>
      </c>
    </row>
    <row r="3" spans="1:22" ht="15" customHeight="1">
      <c r="A3" s="14"/>
      <c r="B3" s="120"/>
      <c r="C3" s="121"/>
      <c r="D3" s="121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3" ht="15" customHeight="1">
      <c r="A4" s="14">
        <v>-1</v>
      </c>
      <c r="B4" s="123" t="s">
        <v>61</v>
      </c>
      <c r="C4" s="121"/>
      <c r="D4" s="121"/>
      <c r="E4" s="122"/>
      <c r="F4" s="21">
        <v>425.64262900632224</v>
      </c>
      <c r="G4" s="21">
        <v>401.6249205283128</v>
      </c>
      <c r="H4" s="21">
        <v>408.2969570903244</v>
      </c>
      <c r="I4" s="21">
        <v>449.0078924112267</v>
      </c>
      <c r="J4" s="21">
        <v>419.30381087296104</v>
      </c>
      <c r="K4" s="21">
        <v>521.3219997824316</v>
      </c>
      <c r="L4" s="21">
        <v>533.8758842352707</v>
      </c>
      <c r="M4" s="21">
        <v>655.5670061205383</v>
      </c>
      <c r="N4" s="21">
        <v>799.9509672905887</v>
      </c>
      <c r="O4" s="21">
        <v>875.2216050812305</v>
      </c>
      <c r="P4" s="21">
        <v>946.7932436614259</v>
      </c>
      <c r="Q4" s="21">
        <v>1100.5988622901561</v>
      </c>
      <c r="R4" s="21">
        <v>1376.9099422886088</v>
      </c>
      <c r="S4" s="21">
        <v>1572.1928931795192</v>
      </c>
      <c r="T4" s="21">
        <v>1915.6104380135184</v>
      </c>
      <c r="U4" s="21">
        <v>1654.2205308097482</v>
      </c>
      <c r="V4" s="21"/>
      <c r="W4" s="124">
        <f>AVERAGE(F4:U4)</f>
        <v>878.5087239163865</v>
      </c>
    </row>
    <row r="5" spans="1:23" s="13" customFormat="1" ht="15" customHeight="1">
      <c r="A5" s="126">
        <f>A4-1</f>
        <v>-2</v>
      </c>
      <c r="B5" t="s">
        <v>56</v>
      </c>
      <c r="C5"/>
      <c r="D5"/>
      <c r="E5" s="21"/>
      <c r="F5" s="21">
        <v>158.97355700422762</v>
      </c>
      <c r="G5" s="21">
        <v>183.90999053722305</v>
      </c>
      <c r="H5" s="21">
        <v>210.38639553740606</v>
      </c>
      <c r="I5" s="21">
        <v>229.37791269589445</v>
      </c>
      <c r="J5" s="21">
        <v>234.63523670934038</v>
      </c>
      <c r="K5" s="21">
        <v>262.0195681325119</v>
      </c>
      <c r="L5" s="21">
        <v>286.5777436482846</v>
      </c>
      <c r="M5" s="21">
        <v>337.3679550597807</v>
      </c>
      <c r="N5" s="21">
        <v>372.2448914309598</v>
      </c>
      <c r="O5" s="21">
        <v>397.30002588058807</v>
      </c>
      <c r="P5" s="21">
        <v>438.4050105343921</v>
      </c>
      <c r="Q5" s="21">
        <v>501.84387001802384</v>
      </c>
      <c r="R5" s="21">
        <v>592.7613654790423</v>
      </c>
      <c r="S5" s="21">
        <v>707.3333464703496</v>
      </c>
      <c r="T5" s="21">
        <v>799.6925039250002</v>
      </c>
      <c r="U5" s="21">
        <v>779.5449371910663</v>
      </c>
      <c r="V5" s="21"/>
      <c r="W5" s="124">
        <f>AVERAGE(F5:U5)</f>
        <v>405.7733943908807</v>
      </c>
    </row>
    <row r="6" spans="1:23" ht="15" customHeight="1">
      <c r="A6" s="126">
        <f>A5-1</f>
        <v>-3</v>
      </c>
      <c r="B6" s="20" t="s">
        <v>62</v>
      </c>
      <c r="E6" s="127"/>
      <c r="F6" s="21">
        <v>34.91096257164736</v>
      </c>
      <c r="G6" s="21">
        <v>33.01776237557492</v>
      </c>
      <c r="H6" s="21">
        <v>32.596534976532055</v>
      </c>
      <c r="I6" s="21">
        <v>35.639370803819915</v>
      </c>
      <c r="J6" s="21">
        <v>32.8597734952707</v>
      </c>
      <c r="K6" s="21">
        <v>40.89195790582268</v>
      </c>
      <c r="L6" s="21">
        <v>41.94587648974257</v>
      </c>
      <c r="M6" s="21">
        <v>50.89557576689387</v>
      </c>
      <c r="N6" s="21">
        <v>61.44272943723847</v>
      </c>
      <c r="O6" s="21">
        <v>66.74878324230926</v>
      </c>
      <c r="P6" s="21">
        <v>71.21318422834923</v>
      </c>
      <c r="Q6" s="21">
        <v>82.21815424158883</v>
      </c>
      <c r="R6" s="21">
        <v>101.96022335989454</v>
      </c>
      <c r="S6" s="21">
        <v>116.69987905433764</v>
      </c>
      <c r="T6" s="21">
        <v>141.8675580368758</v>
      </c>
      <c r="U6" s="21">
        <v>122.94748872873686</v>
      </c>
      <c r="V6" s="21"/>
      <c r="W6" s="124">
        <f>AVERAGE(F6:U6)</f>
        <v>66.74098841966467</v>
      </c>
    </row>
    <row r="7" spans="1:23" ht="15" customHeight="1">
      <c r="A7" s="126">
        <f>A6-1</f>
        <v>-4</v>
      </c>
      <c r="B7" t="str">
        <f>"   Home equity loans paid off at the time of sale"</f>
        <v>   Home equity loans paid off at the time of sale</v>
      </c>
      <c r="E7" s="128"/>
      <c r="F7" s="21">
        <v>8.668551757004188</v>
      </c>
      <c r="G7" s="21">
        <v>9.300761750928636</v>
      </c>
      <c r="H7" s="21">
        <v>9.78935818269917</v>
      </c>
      <c r="I7" s="21">
        <v>10.153085515273457</v>
      </c>
      <c r="J7" s="21">
        <v>10.750521395695946</v>
      </c>
      <c r="K7" s="21">
        <v>12.362749926018173</v>
      </c>
      <c r="L7" s="21">
        <v>14.564050504272695</v>
      </c>
      <c r="M7" s="21">
        <v>17.44579005018382</v>
      </c>
      <c r="N7" s="21">
        <v>19.009686569731816</v>
      </c>
      <c r="O7" s="21">
        <v>22.14290945826412</v>
      </c>
      <c r="P7" s="21">
        <v>25.606494767187574</v>
      </c>
      <c r="Q7" s="21">
        <v>29.85909331710892</v>
      </c>
      <c r="R7" s="21">
        <v>37.047240396333216</v>
      </c>
      <c r="S7" s="21">
        <v>51.090800382569626</v>
      </c>
      <c r="T7" s="21">
        <v>64.53835046146027</v>
      </c>
      <c r="U7" s="21">
        <v>66.30949269565971</v>
      </c>
      <c r="V7" s="21"/>
      <c r="W7" s="124">
        <f>AVERAGE(F7:U7)</f>
        <v>25.53993357064946</v>
      </c>
    </row>
    <row r="8" spans="1:23" s="32" customFormat="1" ht="15" customHeight="1">
      <c r="A8" s="129">
        <f>A7-1</f>
        <v>-5</v>
      </c>
      <c r="B8" s="32" t="s">
        <v>63</v>
      </c>
      <c r="E8" s="10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28"/>
      <c r="W8" s="110"/>
    </row>
    <row r="9" spans="1:23" s="32" customFormat="1" ht="15" customHeight="1">
      <c r="A9" s="129"/>
      <c r="B9" s="32" t="str">
        <f>"      existing homes [("&amp;-1*A4&amp;")-("&amp;-1*A5&amp;")-("&amp;-1*A6&amp;")-("&amp;-1*A7&amp;")]"</f>
        <v>      existing homes [(1)-(2)-(3)-(4)]</v>
      </c>
      <c r="E9" s="109"/>
      <c r="F9" s="28">
        <v>223.08955767344304</v>
      </c>
      <c r="G9" s="28">
        <v>175.39640586458626</v>
      </c>
      <c r="H9" s="28">
        <v>155.5246683936871</v>
      </c>
      <c r="I9" s="28">
        <v>173.83752339623888</v>
      </c>
      <c r="J9" s="28">
        <v>141.05827927265403</v>
      </c>
      <c r="K9" s="28">
        <v>206.04772381807888</v>
      </c>
      <c r="L9" s="28">
        <v>190.7882135929709</v>
      </c>
      <c r="M9" s="28">
        <v>249.85768524367995</v>
      </c>
      <c r="N9" s="28">
        <v>347.25365985265853</v>
      </c>
      <c r="O9" s="28">
        <v>389.0298865000691</v>
      </c>
      <c r="P9" s="28">
        <v>411.56855413149714</v>
      </c>
      <c r="Q9" s="28">
        <v>486.67774471343466</v>
      </c>
      <c r="R9" s="28">
        <v>645.1411130533386</v>
      </c>
      <c r="S9" s="28">
        <v>697.0688672722624</v>
      </c>
      <c r="T9" s="28">
        <v>909.5120255901822</v>
      </c>
      <c r="U9" s="28">
        <v>685.4186121942854</v>
      </c>
      <c r="V9" s="28"/>
      <c r="W9" s="31">
        <f>AVERAGE(F9:U9)</f>
        <v>380.4544075351917</v>
      </c>
    </row>
    <row r="10" spans="6:23" ht="15">
      <c r="F10" s="130"/>
      <c r="G10" s="130"/>
      <c r="H10" s="130"/>
      <c r="I10" s="130"/>
      <c r="J10" s="130"/>
      <c r="K10" s="130"/>
      <c r="L10" s="130"/>
      <c r="M10" s="130"/>
      <c r="N10" s="108"/>
      <c r="O10" s="108"/>
      <c r="P10" s="108"/>
      <c r="Q10" s="108"/>
      <c r="R10" s="108"/>
      <c r="S10" s="108"/>
      <c r="T10" s="108"/>
      <c r="U10" s="108"/>
      <c r="W10" s="131"/>
    </row>
    <row r="11" spans="2:23" ht="15">
      <c r="B11" t="s">
        <v>57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21"/>
      <c r="W11" s="131"/>
    </row>
    <row r="12" spans="1:23" ht="15">
      <c r="A12" s="126">
        <f>A8-1</f>
        <v>-6</v>
      </c>
      <c r="B12" t="str">
        <f>"   Owner-occupied homes [(1-("&amp;-1*A31&amp;"))*("&amp;-1*A4&amp;")]"</f>
        <v>   Owner-occupied homes [(1-(18))*(1)]</v>
      </c>
      <c r="F12" s="21">
        <v>395.3934532686801</v>
      </c>
      <c r="G12" s="21">
        <v>373.73067434033123</v>
      </c>
      <c r="H12" s="21">
        <v>379.5798567124842</v>
      </c>
      <c r="I12" s="21">
        <v>414.9905694552965</v>
      </c>
      <c r="J12" s="21">
        <v>384.9935600599471</v>
      </c>
      <c r="K12" s="21">
        <v>477.88305150986736</v>
      </c>
      <c r="L12" s="21">
        <v>485.3472128039604</v>
      </c>
      <c r="M12" s="21">
        <v>596.6923775748189</v>
      </c>
      <c r="N12" s="21">
        <v>722.3917530610859</v>
      </c>
      <c r="O12" s="21">
        <v>785.1496037596683</v>
      </c>
      <c r="P12" s="21">
        <v>844.9437696955271</v>
      </c>
      <c r="Q12" s="21">
        <v>969.6705140183498</v>
      </c>
      <c r="R12" s="21">
        <v>1198.145698366432</v>
      </c>
      <c r="S12" s="21">
        <v>1322.3032824229372</v>
      </c>
      <c r="T12" s="21">
        <v>1601.2473576753418</v>
      </c>
      <c r="U12" s="21">
        <v>1382.7530908206074</v>
      </c>
      <c r="V12" s="21"/>
      <c r="W12" s="124">
        <f>AVERAGE(F12:U12)</f>
        <v>770.9509890965835</v>
      </c>
    </row>
    <row r="13" spans="1:23" ht="15">
      <c r="A13" s="126">
        <f>A12-1</f>
        <v>-7</v>
      </c>
      <c r="B13" t="str">
        <f>"      Repeat buyers [("&amp;-1*A32&amp;")*("&amp;-1*A12&amp;")]"</f>
        <v>      Repeat buyers [(19)*(6)]</v>
      </c>
      <c r="F13" s="21">
        <v>221.42033383046086</v>
      </c>
      <c r="G13" s="21">
        <v>211.15783100228714</v>
      </c>
      <c r="H13" s="21">
        <v>216.36051832611594</v>
      </c>
      <c r="I13" s="21">
        <v>236.54462458951897</v>
      </c>
      <c r="J13" s="21">
        <v>219.44632923416984</v>
      </c>
      <c r="K13" s="21">
        <v>272.3933393606244</v>
      </c>
      <c r="L13" s="21">
        <v>276.6479112982574</v>
      </c>
      <c r="M13" s="21">
        <v>340.1146552176468</v>
      </c>
      <c r="N13" s="21">
        <v>411.7632992448189</v>
      </c>
      <c r="O13" s="21">
        <v>455.3867701806075</v>
      </c>
      <c r="P13" s="21">
        <v>498.51682412036087</v>
      </c>
      <c r="Q13" s="21">
        <v>581.8023084110099</v>
      </c>
      <c r="R13" s="21">
        <v>718.8874190198592</v>
      </c>
      <c r="S13" s="21">
        <v>806.6050022779918</v>
      </c>
      <c r="T13" s="21">
        <v>976.7608881819584</v>
      </c>
      <c r="U13" s="21">
        <v>843.4793854005704</v>
      </c>
      <c r="V13" s="21"/>
      <c r="W13" s="124">
        <f>AVERAGE(F13:U13)</f>
        <v>455.4554649810162</v>
      </c>
    </row>
    <row r="14" spans="1:23" ht="15">
      <c r="A14" s="126">
        <f>A13-1</f>
        <v>-8</v>
      </c>
      <c r="B14" t="str">
        <f>"      Non-repeat buyers [("&amp;-1*A12&amp;")-("&amp;-1*A13&amp;")]"</f>
        <v>      Non-repeat buyers [(6)-(7)]</v>
      </c>
      <c r="F14" s="21">
        <v>173.97311943821921</v>
      </c>
      <c r="G14" s="21">
        <v>162.57284333804412</v>
      </c>
      <c r="H14" s="21">
        <v>163.21933838636824</v>
      </c>
      <c r="I14" s="21">
        <v>178.4459448657775</v>
      </c>
      <c r="J14" s="21">
        <v>165.54723082577726</v>
      </c>
      <c r="K14" s="21">
        <v>205.489712149243</v>
      </c>
      <c r="L14" s="21">
        <v>208.69930150570298</v>
      </c>
      <c r="M14" s="21">
        <v>256.5777223571722</v>
      </c>
      <c r="N14" s="21">
        <v>310.628453816267</v>
      </c>
      <c r="O14" s="21">
        <v>329.7628335790607</v>
      </c>
      <c r="P14" s="21">
        <v>346.4269455751662</v>
      </c>
      <c r="Q14" s="21">
        <v>387.86820560734</v>
      </c>
      <c r="R14" s="21">
        <v>479.25827934657286</v>
      </c>
      <c r="S14" s="21">
        <v>515.6982801449456</v>
      </c>
      <c r="T14" s="21">
        <v>624.4864694933833</v>
      </c>
      <c r="U14" s="21">
        <v>539.273705420037</v>
      </c>
      <c r="V14" s="21"/>
      <c r="W14" s="124">
        <f>AVERAGE(F14:U14)</f>
        <v>315.4955241155673</v>
      </c>
    </row>
    <row r="15" spans="1:23" ht="15">
      <c r="A15" s="126">
        <f>A14-1</f>
        <v>-9</v>
      </c>
      <c r="B15" t="str">
        <f>"   Rental and vacant homes [("&amp;-1*A31&amp;")*("&amp;-1*A4&amp;")]"</f>
        <v>   Rental and vacant homes [(18)*(1)]</v>
      </c>
      <c r="F15" s="21">
        <v>30.249175737642133</v>
      </c>
      <c r="G15" s="21">
        <v>27.89424618798158</v>
      </c>
      <c r="H15" s="21">
        <v>28.71710037784021</v>
      </c>
      <c r="I15" s="21">
        <v>34.017322955930226</v>
      </c>
      <c r="J15" s="21">
        <v>34.31025081301397</v>
      </c>
      <c r="K15" s="21">
        <v>43.43894827256426</v>
      </c>
      <c r="L15" s="21">
        <v>48.528671431310315</v>
      </c>
      <c r="M15" s="21">
        <v>58.87462854571939</v>
      </c>
      <c r="N15" s="21">
        <v>77.55921422950274</v>
      </c>
      <c r="O15" s="21">
        <v>90.07200132156225</v>
      </c>
      <c r="P15" s="21">
        <v>101.84947396589885</v>
      </c>
      <c r="Q15" s="21">
        <v>130.92834827180639</v>
      </c>
      <c r="R15" s="21">
        <v>178.76424392217663</v>
      </c>
      <c r="S15" s="21">
        <v>249.889610756582</v>
      </c>
      <c r="T15" s="21">
        <v>314.3630803381768</v>
      </c>
      <c r="U15" s="21">
        <v>271.46743998914064</v>
      </c>
      <c r="V15" s="21"/>
      <c r="W15" s="124">
        <f>AVERAGE(F15:U15)</f>
        <v>107.55773481980302</v>
      </c>
    </row>
    <row r="17" ht="15">
      <c r="B17" t="s">
        <v>58</v>
      </c>
    </row>
    <row r="18" spans="1:23" ht="15">
      <c r="A18" s="126">
        <f>A15-1</f>
        <v>-10</v>
      </c>
      <c r="B18" t="str">
        <f>"   Owner-occupied homes [{("&amp;-1*A12&amp;")/("&amp;-1*A4&amp;")}*("&amp;-1*A5&amp;")]"</f>
        <v>   Owner-occupied homes [{(6)/(1)}*(2)]</v>
      </c>
      <c r="F18" s="21">
        <v>147.67575492671708</v>
      </c>
      <c r="G18" s="21">
        <v>171.13843356347707</v>
      </c>
      <c r="H18" s="21">
        <v>195.57839106132656</v>
      </c>
      <c r="I18" s="21">
        <v>211.97784678969978</v>
      </c>
      <c r="J18" s="21">
        <v>215.4011156299859</v>
      </c>
      <c r="K18" s="21">
        <v>240.12953614679242</v>
      </c>
      <c r="L18" s="21">
        <v>260.50036239865193</v>
      </c>
      <c r="M18" s="21">
        <v>307.0083947431217</v>
      </c>
      <c r="N18" s="21">
        <v>336.1428786716406</v>
      </c>
      <c r="O18" s="21">
        <v>356.46032034786487</v>
      </c>
      <c r="P18" s="21">
        <v>391.1991950342682</v>
      </c>
      <c r="Q18" s="21">
        <v>442.1332244498782</v>
      </c>
      <c r="R18" s="21">
        <v>515.7510925773506</v>
      </c>
      <c r="S18" s="21">
        <v>594.8909064886582</v>
      </c>
      <c r="T18" s="21">
        <v>668.4582018620467</v>
      </c>
      <c r="U18" s="21">
        <v>651.6169708079113</v>
      </c>
      <c r="V18" s="21"/>
      <c r="W18" s="124">
        <f>AVERAGE(F18:U18)</f>
        <v>356.62891409371196</v>
      </c>
    </row>
    <row r="19" spans="1:23" ht="15">
      <c r="A19" s="126">
        <f>A18-1</f>
        <v>-11</v>
      </c>
      <c r="B19" t="str">
        <f>"      Repeat buyers [{("&amp;-1*A13&amp;")/("&amp;-1*A12&amp;")}*("&amp;-1*A18&amp;")]"</f>
        <v>      Repeat buyers [{(7)/(6)}*(10)]</v>
      </c>
      <c r="F19" s="21">
        <v>82.69842275896157</v>
      </c>
      <c r="G19" s="21">
        <v>96.69321496336451</v>
      </c>
      <c r="H19" s="21">
        <v>111.47968290495612</v>
      </c>
      <c r="I19" s="21">
        <v>120.82737267012888</v>
      </c>
      <c r="J19" s="21">
        <v>122.77863590909195</v>
      </c>
      <c r="K19" s="21">
        <v>136.87383560367167</v>
      </c>
      <c r="L19" s="21">
        <v>148.4852065672316</v>
      </c>
      <c r="M19" s="21">
        <v>174.99478500357935</v>
      </c>
      <c r="N19" s="21">
        <v>191.6014408428351</v>
      </c>
      <c r="O19" s="21">
        <v>206.7469858017616</v>
      </c>
      <c r="P19" s="21">
        <v>230.80752507021822</v>
      </c>
      <c r="Q19" s="21">
        <v>265.2799346699269</v>
      </c>
      <c r="R19" s="21">
        <v>309.45065554641036</v>
      </c>
      <c r="S19" s="21">
        <v>362.8834529580814</v>
      </c>
      <c r="T19" s="21">
        <v>407.7595031358485</v>
      </c>
      <c r="U19" s="21">
        <v>397.4863521928259</v>
      </c>
      <c r="V19" s="21"/>
      <c r="W19" s="124">
        <f>AVERAGE(F19:U19)</f>
        <v>210.42793791243085</v>
      </c>
    </row>
    <row r="20" spans="1:23" ht="15">
      <c r="A20" s="126">
        <f>A19-1</f>
        <v>-12</v>
      </c>
      <c r="B20" t="str">
        <f>"      Non-repeat buyers [("&amp;-1*A18&amp;")-("&amp;-1*A19&amp;")]"</f>
        <v>      Non-repeat buyers [(10)-(11)]</v>
      </c>
      <c r="F20" s="21">
        <v>64.9773321677555</v>
      </c>
      <c r="G20" s="21">
        <v>74.44521860011253</v>
      </c>
      <c r="H20" s="21">
        <v>84.09870815637044</v>
      </c>
      <c r="I20" s="21">
        <v>91.15047411957093</v>
      </c>
      <c r="J20" s="21">
        <v>92.62247972089393</v>
      </c>
      <c r="K20" s="21">
        <v>103.25570054312075</v>
      </c>
      <c r="L20" s="21">
        <v>112.01515583142034</v>
      </c>
      <c r="M20" s="21">
        <v>132.01360973954235</v>
      </c>
      <c r="N20" s="21">
        <v>144.54143782880547</v>
      </c>
      <c r="O20" s="21">
        <v>149.71333454610325</v>
      </c>
      <c r="P20" s="21">
        <v>160.39166996404998</v>
      </c>
      <c r="Q20" s="21">
        <v>176.85328977995127</v>
      </c>
      <c r="R20" s="21">
        <v>206.3004370309403</v>
      </c>
      <c r="S20" s="21">
        <v>232.00745353057664</v>
      </c>
      <c r="T20" s="21">
        <v>260.69869872619824</v>
      </c>
      <c r="U20" s="21">
        <v>254.1306186150854</v>
      </c>
      <c r="V20" s="21"/>
      <c r="W20" s="124">
        <f>AVERAGE(F20:U20)</f>
        <v>146.20097618128105</v>
      </c>
    </row>
    <row r="21" spans="1:23" ht="15">
      <c r="A21" s="126">
        <f>A20-1</f>
        <v>-13</v>
      </c>
      <c r="B21" t="str">
        <f>"   Rental and vacant homes [("&amp;-1*A5&amp;")-("&amp;-1*A18&amp;")]"</f>
        <v>   Rental and vacant homes [(2)-(10)]</v>
      </c>
      <c r="F21" s="21">
        <v>11.297802077510532</v>
      </c>
      <c r="G21" s="21">
        <v>12.77155697374598</v>
      </c>
      <c r="H21" s="21">
        <v>14.808004476079503</v>
      </c>
      <c r="I21" s="21">
        <v>17.40006590619467</v>
      </c>
      <c r="J21" s="21">
        <v>19.234121079354487</v>
      </c>
      <c r="K21" s="21">
        <v>21.89003198571949</v>
      </c>
      <c r="L21" s="21">
        <v>26.07738124963263</v>
      </c>
      <c r="M21" s="21">
        <v>30.359560316659042</v>
      </c>
      <c r="N21" s="21">
        <v>36.10201275931918</v>
      </c>
      <c r="O21" s="21">
        <v>40.839705532723244</v>
      </c>
      <c r="P21" s="21">
        <v>47.20581550012382</v>
      </c>
      <c r="Q21" s="21">
        <v>59.710645568145665</v>
      </c>
      <c r="R21" s="21">
        <v>77.01027290169165</v>
      </c>
      <c r="S21" s="21">
        <v>112.44243998169154</v>
      </c>
      <c r="T21" s="21">
        <v>131.23430206295345</v>
      </c>
      <c r="U21" s="21">
        <v>127.92796638315494</v>
      </c>
      <c r="V21" s="21"/>
      <c r="W21" s="124">
        <f>AVERAGE(F21:U21)</f>
        <v>49.14448029716875</v>
      </c>
    </row>
    <row r="22" spans="6:23" ht="15"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124"/>
    </row>
    <row r="23" ht="15">
      <c r="B23" s="13" t="s">
        <v>64</v>
      </c>
    </row>
    <row r="24" spans="2:7" ht="15">
      <c r="B24" s="13" t="s">
        <v>65</v>
      </c>
      <c r="G24" s="124"/>
    </row>
    <row r="25" spans="1:23" ht="15">
      <c r="A25" s="126">
        <f>A21-1</f>
        <v>-14</v>
      </c>
      <c r="B25" t="str">
        <f>"   Owner-occupied homes [("&amp;-1*A12&amp;")-("&amp;-1*A18&amp;")-{("&amp;-1*A12&amp;")/("&amp;-1*A4&amp;")}*{("&amp;-1*A6&amp;")+("&amp;-1*A7&amp;")}]"</f>
        <v>   Owner-occupied homes [(6)-(10)-{(6)/(1)}*{(3)+(4)}]</v>
      </c>
      <c r="F25" s="21">
        <v>207.23485113592665</v>
      </c>
      <c r="G25" s="21">
        <v>163.21269752538274</v>
      </c>
      <c r="H25" s="21">
        <v>144.5973626584624</v>
      </c>
      <c r="I25" s="21">
        <v>160.69064458654373</v>
      </c>
      <c r="J25" s="21">
        <v>129.55209099451838</v>
      </c>
      <c r="K25" s="21">
        <v>188.93863958378597</v>
      </c>
      <c r="L25" s="21">
        <v>173.47478173389706</v>
      </c>
      <c r="M25" s="21">
        <v>227.4831642990906</v>
      </c>
      <c r="N25" s="21">
        <v>313.5974681772398</v>
      </c>
      <c r="O25" s="21">
        <v>348.94317391324785</v>
      </c>
      <c r="P25" s="21">
        <v>367.34243578250585</v>
      </c>
      <c r="Q25" s="21">
        <v>428.7929055708687</v>
      </c>
      <c r="R25" s="21">
        <v>561.4424222399701</v>
      </c>
      <c r="S25" s="21">
        <v>586.2898592713848</v>
      </c>
      <c r="T25" s="21">
        <v>760.2556860467209</v>
      </c>
      <c r="U25" s="21">
        <v>572.9373362653675</v>
      </c>
      <c r="V25" s="21"/>
      <c r="W25" s="124">
        <f>AVERAGE(F25:U25)</f>
        <v>333.4240949865571</v>
      </c>
    </row>
    <row r="26" spans="1:23" ht="15">
      <c r="A26" s="126">
        <f>A25-1</f>
        <v>-15</v>
      </c>
      <c r="B26" t="str">
        <f>"      Repeat buyers[{("&amp;-1*A13&amp;")/("&amp;-1*A12&amp;")}*("&amp;-1*A25&amp;")]"</f>
        <v>      Repeat buyers[{(7)/(6)}*(14)]</v>
      </c>
      <c r="F26" s="21">
        <v>116.05151663611893</v>
      </c>
      <c r="G26" s="21">
        <v>92.21517410184123</v>
      </c>
      <c r="H26" s="21">
        <v>82.42049671532357</v>
      </c>
      <c r="I26" s="21">
        <v>91.5936674143299</v>
      </c>
      <c r="J26" s="21">
        <v>73.84469186687548</v>
      </c>
      <c r="K26" s="21">
        <v>107.695024562758</v>
      </c>
      <c r="L26" s="21">
        <v>98.88062558832132</v>
      </c>
      <c r="M26" s="21">
        <v>129.66540365048164</v>
      </c>
      <c r="N26" s="21">
        <v>178.7505568610267</v>
      </c>
      <c r="O26" s="21">
        <v>202.38704086968374</v>
      </c>
      <c r="P26" s="21">
        <v>216.73203711167844</v>
      </c>
      <c r="Q26" s="21">
        <v>257.2757433425212</v>
      </c>
      <c r="R26" s="21">
        <v>336.86545334398204</v>
      </c>
      <c r="S26" s="21">
        <v>357.6368141555447</v>
      </c>
      <c r="T26" s="21">
        <v>463.7559684884998</v>
      </c>
      <c r="U26" s="21">
        <v>349.4917751218742</v>
      </c>
      <c r="V26" s="21"/>
      <c r="W26" s="124">
        <f>AVERAGE(F26:U26)</f>
        <v>197.2038743644288</v>
      </c>
    </row>
    <row r="27" spans="1:23" ht="15">
      <c r="A27" s="126">
        <f>A26-1</f>
        <v>-16</v>
      </c>
      <c r="B27" t="str">
        <f>"      Non-repeat buyers[("&amp;-1*A25&amp;")-("&amp;-1*A26&amp;")]"</f>
        <v>      Non-repeat buyers[(14)-(15)]</v>
      </c>
      <c r="F27" s="21">
        <v>91.18333449980771</v>
      </c>
      <c r="G27" s="21">
        <v>70.9975234235415</v>
      </c>
      <c r="H27" s="21">
        <v>62.17686594313885</v>
      </c>
      <c r="I27" s="21">
        <v>69.09697717221381</v>
      </c>
      <c r="J27" s="21">
        <v>55.7073991276429</v>
      </c>
      <c r="K27" s="21">
        <v>81.24361502102798</v>
      </c>
      <c r="L27" s="21">
        <v>74.59415614557574</v>
      </c>
      <c r="M27" s="21">
        <v>97.81776064860898</v>
      </c>
      <c r="N27" s="21">
        <v>134.84691131621315</v>
      </c>
      <c r="O27" s="21">
        <v>146.5561330435641</v>
      </c>
      <c r="P27" s="21">
        <v>150.61039867082744</v>
      </c>
      <c r="Q27" s="21">
        <v>171.5171622283475</v>
      </c>
      <c r="R27" s="21">
        <v>224.57696889598805</v>
      </c>
      <c r="S27" s="21">
        <v>228.6530451158401</v>
      </c>
      <c r="T27" s="21">
        <v>296.49971755822116</v>
      </c>
      <c r="U27" s="21">
        <v>223.4455611434933</v>
      </c>
      <c r="V27" s="21"/>
      <c r="W27" s="124">
        <f>AVERAGE(F27:U27)</f>
        <v>136.22022062212827</v>
      </c>
    </row>
    <row r="28" spans="1:23" ht="15">
      <c r="A28" s="126">
        <f>A27-1</f>
        <v>-17</v>
      </c>
      <c r="B28" t="str">
        <f>"    Rental and Vacant [("&amp;-1*A8&amp;")-("&amp;-1*A25&amp;")]"</f>
        <v>    Rental and Vacant [(5)-(14)]</v>
      </c>
      <c r="F28" s="21">
        <v>15.8547065375164</v>
      </c>
      <c r="G28" s="21">
        <v>12.183708339203495</v>
      </c>
      <c r="H28" s="21">
        <v>10.927305735224685</v>
      </c>
      <c r="I28" s="21">
        <v>13.146878809695163</v>
      </c>
      <c r="J28" s="21">
        <v>11.50618827813565</v>
      </c>
      <c r="K28" s="21">
        <v>17.109084234292908</v>
      </c>
      <c r="L28" s="21">
        <v>17.313431859073795</v>
      </c>
      <c r="M28" s="21">
        <v>22.374520944589342</v>
      </c>
      <c r="N28" s="21">
        <v>33.65619167541869</v>
      </c>
      <c r="O28" s="21">
        <v>40.08671258682121</v>
      </c>
      <c r="P28" s="21">
        <v>44.22611834899126</v>
      </c>
      <c r="Q28" s="21">
        <v>57.88483914256594</v>
      </c>
      <c r="R28" s="21">
        <v>83.69869081336854</v>
      </c>
      <c r="S28" s="21">
        <v>110.77900800087762</v>
      </c>
      <c r="T28" s="21">
        <v>149.25633954346134</v>
      </c>
      <c r="U28" s="21">
        <v>112.48127592891785</v>
      </c>
      <c r="V28" s="21"/>
      <c r="W28" s="124">
        <f>AVERAGE(F28:U28)</f>
        <v>47.03031254863462</v>
      </c>
    </row>
    <row r="29" spans="6:23" ht="15"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124"/>
    </row>
    <row r="30" spans="2:23" ht="15">
      <c r="B30" t="s">
        <v>7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24"/>
    </row>
    <row r="31" spans="1:23" ht="15">
      <c r="A31" s="126">
        <f>A28-1</f>
        <v>-18</v>
      </c>
      <c r="B31" t="s">
        <v>66</v>
      </c>
      <c r="F31" s="34">
        <v>0.07156658712853191</v>
      </c>
      <c r="G31" s="34">
        <v>0.06964648813412255</v>
      </c>
      <c r="H31" s="34">
        <v>0.07067051817592787</v>
      </c>
      <c r="I31" s="34">
        <v>0.07606170117313957</v>
      </c>
      <c r="J31" s="34">
        <v>0.08245480134815357</v>
      </c>
      <c r="K31" s="34">
        <v>0.08390319799932464</v>
      </c>
      <c r="L31" s="34">
        <v>0.09131170374917405</v>
      </c>
      <c r="M31" s="34">
        <v>0.09025674150605391</v>
      </c>
      <c r="N31" s="34">
        <v>0.09741246750000003</v>
      </c>
      <c r="O31" s="34">
        <v>0.10327066875000002</v>
      </c>
      <c r="P31" s="34">
        <v>0.10786066875000001</v>
      </c>
      <c r="Q31" s="34">
        <v>0.11894322375000002</v>
      </c>
      <c r="R31" s="34">
        <v>0.13026082500000002</v>
      </c>
      <c r="S31" s="34">
        <v>0.15986766375</v>
      </c>
      <c r="T31" s="34">
        <v>0.16410595500000003</v>
      </c>
      <c r="U31" s="34">
        <v>0.16410595500000003</v>
      </c>
      <c r="V31" s="34"/>
      <c r="W31" s="132">
        <f>AVERAGE(F31:U31)</f>
        <v>0.10510619791965178</v>
      </c>
    </row>
    <row r="32" spans="1:23" ht="15">
      <c r="A32" s="126">
        <f>A31-1</f>
        <v>-19</v>
      </c>
      <c r="B32" t="s">
        <v>59</v>
      </c>
      <c r="E32" s="34">
        <v>0.581</v>
      </c>
      <c r="F32" s="34">
        <v>0.56</v>
      </c>
      <c r="G32" s="34">
        <v>0.565</v>
      </c>
      <c r="H32" s="34">
        <v>0.57</v>
      </c>
      <c r="I32" s="34">
        <v>0.57</v>
      </c>
      <c r="J32" s="34">
        <v>0.57</v>
      </c>
      <c r="K32" s="34">
        <v>0.57</v>
      </c>
      <c r="L32" s="34">
        <v>0.57</v>
      </c>
      <c r="M32" s="34">
        <v>0.57</v>
      </c>
      <c r="N32" s="34">
        <v>0.57</v>
      </c>
      <c r="O32" s="34">
        <v>0.58</v>
      </c>
      <c r="P32" s="34">
        <v>0.59</v>
      </c>
      <c r="Q32" s="34">
        <v>0.6</v>
      </c>
      <c r="R32" s="34">
        <v>0.6</v>
      </c>
      <c r="S32" s="34">
        <v>0.61</v>
      </c>
      <c r="T32" s="34">
        <v>0.61</v>
      </c>
      <c r="U32" s="34">
        <v>0.61</v>
      </c>
      <c r="V32" s="34"/>
      <c r="W32" s="132">
        <f>AVERAGE(F32:U32)</f>
        <v>0.5821874999999999</v>
      </c>
    </row>
    <row r="33" spans="22:23" ht="15">
      <c r="V33" s="34"/>
      <c r="W33" s="132"/>
    </row>
    <row r="34" spans="1:23" ht="15">
      <c r="A34" s="133"/>
      <c r="B34" s="134"/>
      <c r="C34" s="135"/>
      <c r="D34" s="136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V34" s="34"/>
      <c r="W34" s="132"/>
    </row>
    <row r="35" spans="1:23" ht="15">
      <c r="A35" s="133"/>
      <c r="O35" s="34"/>
      <c r="P35" s="34"/>
      <c r="Q35" s="34"/>
      <c r="R35" s="34"/>
      <c r="S35" s="34"/>
      <c r="T35" s="34"/>
      <c r="U35" s="34"/>
      <c r="V35" s="34"/>
      <c r="W35" s="132"/>
    </row>
    <row r="36" spans="6:23" ht="15"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124"/>
    </row>
    <row r="37" spans="2:4" ht="15.75">
      <c r="B37" s="137" t="str">
        <f>"Distribution of the Net Proceeds from Existing Home Sales"</f>
        <v>Distribution of the Net Proceeds from Existing Home Sales</v>
      </c>
      <c r="C37" s="137"/>
      <c r="D37" s="137"/>
    </row>
    <row r="38" spans="1:23" ht="15">
      <c r="A38" s="126">
        <f>A32-1</f>
        <v>-20</v>
      </c>
      <c r="B38" t="str">
        <f>"   Repeat buyers [("&amp;-1*A26&amp;")]"</f>
        <v>   Repeat buyers [(15)]</v>
      </c>
      <c r="D38" s="138" t="s">
        <v>60</v>
      </c>
      <c r="F38" s="21">
        <v>116.05151663611893</v>
      </c>
      <c r="G38" s="21">
        <v>92.21517410184123</v>
      </c>
      <c r="H38" s="21">
        <v>82.42049671532357</v>
      </c>
      <c r="I38" s="21">
        <v>91.5936674143299</v>
      </c>
      <c r="J38" s="21">
        <v>73.84469186687548</v>
      </c>
      <c r="K38" s="21">
        <v>107.695024562758</v>
      </c>
      <c r="L38" s="21">
        <v>98.88062558832132</v>
      </c>
      <c r="M38" s="21">
        <v>129.66540365048164</v>
      </c>
      <c r="N38" s="21">
        <v>178.7505568610267</v>
      </c>
      <c r="O38" s="21">
        <v>202.38704086968374</v>
      </c>
      <c r="P38" s="21">
        <v>216.73203711167844</v>
      </c>
      <c r="Q38" s="21">
        <v>257.2757433425212</v>
      </c>
      <c r="R38" s="21">
        <v>336.86545334398204</v>
      </c>
      <c r="S38" s="21">
        <v>357.6368141555447</v>
      </c>
      <c r="T38" s="21">
        <v>463.7559684884998</v>
      </c>
      <c r="U38" s="21">
        <v>349.4917751218742</v>
      </c>
      <c r="V38" s="21"/>
      <c r="W38" s="124">
        <f>AVERAGE(F38:U38)</f>
        <v>197.2038743644288</v>
      </c>
    </row>
    <row r="39" spans="1:23" ht="15">
      <c r="A39" s="126">
        <f>A38-1</f>
        <v>-21</v>
      </c>
      <c r="B39" t="str">
        <f>"      Cash used to purchase a home ["&amp;D39&amp;"*("&amp;-1*A38&amp;")]"</f>
        <v>      Cash used to purchase a home [0.87*(20)]</v>
      </c>
      <c r="D39" s="139">
        <v>0.87</v>
      </c>
      <c r="F39" s="21">
        <v>100.96481947342347</v>
      </c>
      <c r="G39" s="21">
        <v>80.22720146860186</v>
      </c>
      <c r="H39" s="21">
        <v>71.7058321423315</v>
      </c>
      <c r="I39" s="21">
        <v>79.68649065046702</v>
      </c>
      <c r="J39" s="21">
        <v>64.24488192418166</v>
      </c>
      <c r="K39" s="21">
        <v>93.69467136959946</v>
      </c>
      <c r="L39" s="21">
        <v>86.02614426183955</v>
      </c>
      <c r="M39" s="21">
        <v>112.80890117591902</v>
      </c>
      <c r="N39" s="21">
        <v>155.5129844690932</v>
      </c>
      <c r="O39" s="21">
        <v>176.07672555662487</v>
      </c>
      <c r="P39" s="21">
        <v>188.55687228716022</v>
      </c>
      <c r="Q39" s="21">
        <v>223.82989670799344</v>
      </c>
      <c r="R39" s="21">
        <v>293.0729444092644</v>
      </c>
      <c r="S39" s="21">
        <v>311.1440283153239</v>
      </c>
      <c r="T39" s="21">
        <v>403.46769258499484</v>
      </c>
      <c r="U39" s="21">
        <v>304.0578443560305</v>
      </c>
      <c r="V39" s="21"/>
      <c r="W39" s="124">
        <f>AVERAGE(F39:U39)</f>
        <v>171.56737069705304</v>
      </c>
    </row>
    <row r="40" spans="1:23" ht="15">
      <c r="A40" s="126">
        <f>A39-1</f>
        <v>-22</v>
      </c>
      <c r="B40" t="str">
        <f>"      PCE ["&amp;D40&amp;"*("&amp;-1*A38&amp;")]"</f>
        <v>      PCE [0.03*(20)]</v>
      </c>
      <c r="D40" s="139">
        <v>0.03</v>
      </c>
      <c r="F40" s="21">
        <v>3.481545499083568</v>
      </c>
      <c r="G40" s="21">
        <v>2.766455223055237</v>
      </c>
      <c r="H40" s="21">
        <v>2.472614901459707</v>
      </c>
      <c r="I40" s="21">
        <v>2.7478100224298974</v>
      </c>
      <c r="J40" s="21">
        <v>2.2153407560062637</v>
      </c>
      <c r="K40" s="21">
        <v>3.23085073688274</v>
      </c>
      <c r="L40" s="21">
        <v>2.9664187676496394</v>
      </c>
      <c r="M40" s="21">
        <v>3.8899621095144488</v>
      </c>
      <c r="N40" s="21">
        <v>5.362516705830801</v>
      </c>
      <c r="O40" s="21">
        <v>6.0716112260905115</v>
      </c>
      <c r="P40" s="21">
        <v>6.501961113350353</v>
      </c>
      <c r="Q40" s="21">
        <v>7.718272300275634</v>
      </c>
      <c r="R40" s="21">
        <v>10.10596360031946</v>
      </c>
      <c r="S40" s="21">
        <v>10.729104424666339</v>
      </c>
      <c r="T40" s="21">
        <v>13.912679054654992</v>
      </c>
      <c r="U40" s="21">
        <v>10.484753253656224</v>
      </c>
      <c r="V40" s="21"/>
      <c r="W40" s="124">
        <f>AVERAGE(F40:U40)</f>
        <v>5.916116230932864</v>
      </c>
    </row>
    <row r="41" spans="1:23" ht="15">
      <c r="A41" s="126">
        <f>A40-1</f>
        <v>-23</v>
      </c>
      <c r="B41" t="str">
        <f>"      Financial investments and other ["&amp;D41&amp;"*("&amp;-1*A38&amp;")]"</f>
        <v>      Financial investments and other [0.1*(20)]</v>
      </c>
      <c r="D41" s="139">
        <v>0.1</v>
      </c>
      <c r="F41" s="21">
        <v>11.605151663611895</v>
      </c>
      <c r="G41" s="21">
        <v>9.221517410184124</v>
      </c>
      <c r="H41" s="21">
        <v>8.242049671532357</v>
      </c>
      <c r="I41" s="21">
        <v>9.159366741432992</v>
      </c>
      <c r="J41" s="21">
        <v>7.384469186687547</v>
      </c>
      <c r="K41" s="21">
        <v>10.769502456275799</v>
      </c>
      <c r="L41" s="21">
        <v>9.888062558832132</v>
      </c>
      <c r="M41" s="21">
        <v>12.966540365048164</v>
      </c>
      <c r="N41" s="21">
        <v>17.87505568610267</v>
      </c>
      <c r="O41" s="21">
        <v>20.238704086968376</v>
      </c>
      <c r="P41" s="21">
        <v>21.673203711167844</v>
      </c>
      <c r="Q41" s="21">
        <v>25.72757433425212</v>
      </c>
      <c r="R41" s="21">
        <v>33.686545334398204</v>
      </c>
      <c r="S41" s="21">
        <v>35.76368141555447</v>
      </c>
      <c r="T41" s="21">
        <v>46.37559684884998</v>
      </c>
      <c r="U41" s="21">
        <v>34.94917751218742</v>
      </c>
      <c r="V41" s="21"/>
      <c r="W41" s="124">
        <f>AVERAGE(F41:U41)</f>
        <v>19.72038743644288</v>
      </c>
    </row>
    <row r="42" spans="4:23" ht="15">
      <c r="D42" s="139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124"/>
    </row>
    <row r="43" spans="4:23" ht="15">
      <c r="D43" s="139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124"/>
    </row>
    <row r="44" spans="1:23" ht="15">
      <c r="A44" s="126">
        <f>A41-1</f>
        <v>-24</v>
      </c>
      <c r="B44" t="str">
        <f>"   Non-repeat buyers [("&amp;-1*A27&amp;")]"</f>
        <v>   Non-repeat buyers [(16)]</v>
      </c>
      <c r="D44" s="138" t="s">
        <v>60</v>
      </c>
      <c r="F44" s="21">
        <v>91.18333449980771</v>
      </c>
      <c r="G44" s="21">
        <v>70.9975234235415</v>
      </c>
      <c r="H44" s="21">
        <v>62.17686594313885</v>
      </c>
      <c r="I44" s="21">
        <v>69.09697717221381</v>
      </c>
      <c r="J44" s="21">
        <v>55.7073991276429</v>
      </c>
      <c r="K44" s="21">
        <v>81.24361502102798</v>
      </c>
      <c r="L44" s="21">
        <v>74.59415614557574</v>
      </c>
      <c r="M44" s="21">
        <v>97.81776064860898</v>
      </c>
      <c r="N44" s="21">
        <v>134.84691131621315</v>
      </c>
      <c r="O44" s="21">
        <v>146.5561330435641</v>
      </c>
      <c r="P44" s="21">
        <v>150.61039867082744</v>
      </c>
      <c r="Q44" s="21">
        <v>171.5171622283475</v>
      </c>
      <c r="R44" s="21">
        <v>224.57696889598805</v>
      </c>
      <c r="S44" s="21">
        <v>228.6530451158401</v>
      </c>
      <c r="T44" s="21">
        <v>296.49971755822116</v>
      </c>
      <c r="U44" s="21">
        <v>223.4455611434933</v>
      </c>
      <c r="V44" s="21"/>
      <c r="W44" s="124">
        <f>AVERAGE(F44:U44)</f>
        <v>136.22022062212827</v>
      </c>
    </row>
    <row r="45" spans="1:23" ht="15">
      <c r="A45" s="126">
        <f>A44-1</f>
        <v>-25</v>
      </c>
      <c r="B45" t="str">
        <f>"      PCE ["&amp;D45&amp;"*("&amp;-1*A44&amp;")]"</f>
        <v>      PCE [0.15*(24)]</v>
      </c>
      <c r="D45" s="140">
        <v>0.15</v>
      </c>
      <c r="F45" s="21">
        <v>13.677500174971158</v>
      </c>
      <c r="G45" s="21">
        <v>10.649628513531225</v>
      </c>
      <c r="H45" s="21">
        <v>9.326529891470827</v>
      </c>
      <c r="I45" s="21">
        <v>10.364546575832069</v>
      </c>
      <c r="J45" s="21">
        <v>8.356109869146435</v>
      </c>
      <c r="K45" s="21">
        <v>12.186542253154197</v>
      </c>
      <c r="L45" s="21">
        <v>11.18912342183636</v>
      </c>
      <c r="M45" s="21">
        <v>14.672664097291346</v>
      </c>
      <c r="N45" s="21">
        <v>20.22703669743197</v>
      </c>
      <c r="O45" s="21">
        <v>21.983419956534618</v>
      </c>
      <c r="P45" s="21">
        <v>22.591559800624115</v>
      </c>
      <c r="Q45" s="21">
        <v>25.72757433425212</v>
      </c>
      <c r="R45" s="21">
        <v>33.686545334398204</v>
      </c>
      <c r="S45" s="21">
        <v>34.29795676737601</v>
      </c>
      <c r="T45" s="21">
        <v>44.47495763373317</v>
      </c>
      <c r="U45" s="21">
        <v>33.516834171523996</v>
      </c>
      <c r="V45" s="21"/>
      <c r="W45" s="124">
        <f>AVERAGE(F45:U45)</f>
        <v>20.43303309331924</v>
      </c>
    </row>
    <row r="46" spans="1:23" ht="15">
      <c r="A46" s="126">
        <f>A45-1</f>
        <v>-26</v>
      </c>
      <c r="B46" t="str">
        <f>"      Financial investments and other ["&amp;D46&amp;"*("&amp;-1*A44&amp;")]"</f>
        <v>      Financial investments and other [0.85*(24)]</v>
      </c>
      <c r="D46" s="140">
        <v>0.85</v>
      </c>
      <c r="F46" s="21">
        <v>77.50583432483656</v>
      </c>
      <c r="G46" s="21">
        <v>60.347894910010275</v>
      </c>
      <c r="H46" s="21">
        <v>52.85033605166802</v>
      </c>
      <c r="I46" s="21">
        <v>58.732430596381725</v>
      </c>
      <c r="J46" s="21">
        <v>47.35128925849647</v>
      </c>
      <c r="K46" s="21">
        <v>69.05707276787378</v>
      </c>
      <c r="L46" s="21">
        <v>63.40503272373939</v>
      </c>
      <c r="M46" s="21">
        <v>83.14509655131762</v>
      </c>
      <c r="N46" s="21">
        <v>114.61987461878115</v>
      </c>
      <c r="O46" s="21">
        <v>124.57271308702948</v>
      </c>
      <c r="P46" s="21">
        <v>128.01883887020333</v>
      </c>
      <c r="Q46" s="21">
        <v>145.78958789409535</v>
      </c>
      <c r="R46" s="21">
        <v>190.89042356158984</v>
      </c>
      <c r="S46" s="21">
        <v>194.35508834846405</v>
      </c>
      <c r="T46" s="21">
        <v>252.024759924488</v>
      </c>
      <c r="U46" s="21">
        <v>189.9287269719693</v>
      </c>
      <c r="V46" s="21"/>
      <c r="W46" s="124">
        <f>AVERAGE(F46:U46)</f>
        <v>115.78718752880903</v>
      </c>
    </row>
    <row r="47" spans="4:23" ht="15">
      <c r="D47" s="139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124"/>
    </row>
    <row r="48" spans="4:23" ht="15">
      <c r="D48" s="139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124"/>
    </row>
    <row r="49" spans="1:23" ht="15">
      <c r="A49" s="126">
        <f>A46-1</f>
        <v>-27</v>
      </c>
      <c r="B49" t="str">
        <f>"   Rental and vacant homes [("&amp;-1*A28&amp;")]"</f>
        <v>   Rental and vacant homes [(17)]</v>
      </c>
      <c r="D49" s="138" t="s">
        <v>60</v>
      </c>
      <c r="F49" s="21">
        <v>15.8547065375164</v>
      </c>
      <c r="G49" s="21">
        <v>12.183708339203495</v>
      </c>
      <c r="H49" s="21">
        <v>10.927305735224685</v>
      </c>
      <c r="I49" s="21">
        <v>13.146878809695163</v>
      </c>
      <c r="J49" s="21">
        <v>11.50618827813565</v>
      </c>
      <c r="K49" s="21">
        <v>17.109084234292908</v>
      </c>
      <c r="L49" s="21">
        <v>17.313431859073795</v>
      </c>
      <c r="M49" s="21">
        <v>22.374520944589342</v>
      </c>
      <c r="N49" s="21">
        <v>33.65619167541869</v>
      </c>
      <c r="O49" s="21">
        <v>40.08671258682121</v>
      </c>
      <c r="P49" s="21">
        <v>44.22611834899126</v>
      </c>
      <c r="Q49" s="21">
        <v>57.88483914256594</v>
      </c>
      <c r="R49" s="21">
        <v>83.69869081336854</v>
      </c>
      <c r="S49" s="21">
        <v>110.77900800087762</v>
      </c>
      <c r="T49" s="21">
        <v>149.25633954346134</v>
      </c>
      <c r="U49" s="21">
        <v>112.48127592891785</v>
      </c>
      <c r="V49" s="21"/>
      <c r="W49" s="124">
        <f>AVERAGE(F49:U49)</f>
        <v>47.03031254863462</v>
      </c>
    </row>
    <row r="50" spans="1:23" ht="15">
      <c r="A50" s="126">
        <f>A49-1</f>
        <v>-28</v>
      </c>
      <c r="B50" t="str">
        <f>"      Cash used to purchase a home ["&amp;D50&amp;"*("&amp;-1*A49&amp;")]"</f>
        <v>      Cash used to purchase a home [0.87*(27)]</v>
      </c>
      <c r="D50" s="139">
        <v>0.87</v>
      </c>
      <c r="F50" s="21">
        <v>13.793594687639267</v>
      </c>
      <c r="G50" s="21">
        <v>10.59982625510704</v>
      </c>
      <c r="H50" s="21">
        <v>9.506755989645477</v>
      </c>
      <c r="I50" s="21">
        <v>11.437784564434793</v>
      </c>
      <c r="J50" s="21">
        <v>10.010383801978016</v>
      </c>
      <c r="K50" s="21">
        <v>14.88490328383483</v>
      </c>
      <c r="L50" s="21">
        <v>15.062685717394201</v>
      </c>
      <c r="M50" s="21">
        <v>19.465833221792728</v>
      </c>
      <c r="N50" s="21">
        <v>29.280886757614255</v>
      </c>
      <c r="O50" s="21">
        <v>34.87543995053445</v>
      </c>
      <c r="P50" s="21">
        <v>38.47672296362239</v>
      </c>
      <c r="Q50" s="21">
        <v>50.359810054032366</v>
      </c>
      <c r="R50" s="21">
        <v>72.81786100763063</v>
      </c>
      <c r="S50" s="21">
        <v>96.37773696076354</v>
      </c>
      <c r="T50" s="21">
        <v>129.85301540281137</v>
      </c>
      <c r="U50" s="21">
        <v>97.85871005815852</v>
      </c>
      <c r="V50" s="21"/>
      <c r="W50" s="124">
        <f>AVERAGE(F50:U50)</f>
        <v>40.91637191731212</v>
      </c>
    </row>
    <row r="51" spans="1:23" ht="15">
      <c r="A51" s="126">
        <f>A50-1</f>
        <v>-29</v>
      </c>
      <c r="B51" t="str">
        <f>"      PCE ["&amp;D51&amp;"*("&amp;-1*A49&amp;")]"</f>
        <v>      PCE [0.03*(27)]</v>
      </c>
      <c r="D51" s="139">
        <v>0.03</v>
      </c>
      <c r="F51" s="21">
        <v>0.47564119612549194</v>
      </c>
      <c r="G51" s="21">
        <v>0.3655112501761048</v>
      </c>
      <c r="H51" s="21">
        <v>0.32781917205674055</v>
      </c>
      <c r="I51" s="21">
        <v>0.3944063642908549</v>
      </c>
      <c r="J51" s="21">
        <v>0.34518564834406945</v>
      </c>
      <c r="K51" s="21">
        <v>0.5132725270287872</v>
      </c>
      <c r="L51" s="21">
        <v>0.5194029557722138</v>
      </c>
      <c r="M51" s="21">
        <v>0.6712356283376804</v>
      </c>
      <c r="N51" s="21">
        <v>1.0096857502625607</v>
      </c>
      <c r="O51" s="21">
        <v>1.202601377604636</v>
      </c>
      <c r="P51" s="21">
        <v>1.3267835504697376</v>
      </c>
      <c r="Q51" s="21">
        <v>1.736545174276978</v>
      </c>
      <c r="R51" s="21">
        <v>2.5109607244010563</v>
      </c>
      <c r="S51" s="21">
        <v>3.3233702400263287</v>
      </c>
      <c r="T51" s="21">
        <v>4.47769018630384</v>
      </c>
      <c r="U51" s="21">
        <v>3.3744382778675357</v>
      </c>
      <c r="V51" s="21"/>
      <c r="W51" s="124">
        <f>AVERAGE(F51:U51)</f>
        <v>1.4109093764590384</v>
      </c>
    </row>
    <row r="52" spans="1:23" ht="15">
      <c r="A52" s="126">
        <f>A51-1</f>
        <v>-30</v>
      </c>
      <c r="B52" t="str">
        <f>"      Financial investments and other ["&amp;D52&amp;"*("&amp;-1*A49&amp;")]"</f>
        <v>      Financial investments and other [0.1*(27)]</v>
      </c>
      <c r="D52" s="139">
        <v>0.1</v>
      </c>
      <c r="F52" s="21">
        <v>1.5854706537516403</v>
      </c>
      <c r="G52" s="21">
        <v>1.2183708339203496</v>
      </c>
      <c r="H52" s="21">
        <v>1.0927305735224686</v>
      </c>
      <c r="I52" s="21">
        <v>1.3146878809695166</v>
      </c>
      <c r="J52" s="21">
        <v>1.1506188278135652</v>
      </c>
      <c r="K52" s="21">
        <v>1.710908423429291</v>
      </c>
      <c r="L52" s="21">
        <v>1.7313431859073796</v>
      </c>
      <c r="M52" s="21">
        <v>2.2374520944589342</v>
      </c>
      <c r="N52" s="21">
        <v>3.365619167541869</v>
      </c>
      <c r="O52" s="21">
        <v>4.008671258682121</v>
      </c>
      <c r="P52" s="21">
        <v>4.422611834899126</v>
      </c>
      <c r="Q52" s="21">
        <v>5.788483914256594</v>
      </c>
      <c r="R52" s="21">
        <v>8.369869081336855</v>
      </c>
      <c r="S52" s="21">
        <v>11.077900800087763</v>
      </c>
      <c r="T52" s="21">
        <v>14.925633954346136</v>
      </c>
      <c r="U52" s="21">
        <v>11.248127592891786</v>
      </c>
      <c r="V52" s="21"/>
      <c r="W52" s="124">
        <f>AVERAGE(F52:U52)</f>
        <v>4.703031254863462</v>
      </c>
    </row>
    <row r="53" spans="4:23" ht="15">
      <c r="D53" s="139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124"/>
    </row>
    <row r="54" spans="4:23" ht="15">
      <c r="D54" s="139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124"/>
    </row>
    <row r="55" spans="1:23" ht="15">
      <c r="A55" s="126">
        <f>A52-1</f>
        <v>-31</v>
      </c>
      <c r="B55" t="str">
        <f>"Total [("&amp;-1*A8&amp;")]"</f>
        <v>Total [(5)]</v>
      </c>
      <c r="D55" s="139"/>
      <c r="F55" s="21">
        <v>223.08955767344304</v>
      </c>
      <c r="G55" s="21">
        <v>175.39640586458626</v>
      </c>
      <c r="H55" s="21">
        <v>155.5246683936871</v>
      </c>
      <c r="I55" s="21">
        <v>173.83752339623888</v>
      </c>
      <c r="J55" s="21">
        <v>141.05827927265403</v>
      </c>
      <c r="K55" s="21">
        <v>206.04772381807888</v>
      </c>
      <c r="L55" s="21">
        <v>190.7882135929709</v>
      </c>
      <c r="M55" s="21">
        <v>249.85768524367995</v>
      </c>
      <c r="N55" s="21">
        <v>347.25365985265853</v>
      </c>
      <c r="O55" s="21">
        <v>389.0298865000691</v>
      </c>
      <c r="P55" s="21">
        <v>411.56855413149714</v>
      </c>
      <c r="Q55" s="21">
        <v>486.67774471343466</v>
      </c>
      <c r="R55" s="21">
        <v>645.1411130533386</v>
      </c>
      <c r="S55" s="21">
        <v>697.0688672722624</v>
      </c>
      <c r="T55" s="21">
        <v>909.5120255901822</v>
      </c>
      <c r="U55" s="21">
        <v>685.4186121942854</v>
      </c>
      <c r="V55" s="21"/>
      <c r="W55" s="124">
        <f>AVERAGE(F55:U55)</f>
        <v>380.4544075351917</v>
      </c>
    </row>
    <row r="56" spans="1:23" ht="15">
      <c r="A56" s="126">
        <f>A55-1</f>
        <v>-32</v>
      </c>
      <c r="B56" t="str">
        <f>"   Cash used to purchase a home [("&amp;-1*A39&amp;")+("&amp;-1*A50&amp;")]"</f>
        <v>   Cash used to purchase a home [(21)+(28)]</v>
      </c>
      <c r="D56" s="139"/>
      <c r="F56" s="21">
        <v>114.75841416106275</v>
      </c>
      <c r="G56" s="21">
        <v>90.82702772370891</v>
      </c>
      <c r="H56" s="21">
        <v>81.21258813197699</v>
      </c>
      <c r="I56" s="21">
        <v>91.12427521490181</v>
      </c>
      <c r="J56" s="21">
        <v>74.25526572615968</v>
      </c>
      <c r="K56" s="21">
        <v>108.57957465343429</v>
      </c>
      <c r="L56" s="21">
        <v>101.08882997923375</v>
      </c>
      <c r="M56" s="21">
        <v>132.27473439771174</v>
      </c>
      <c r="N56" s="21">
        <v>184.79387122670744</v>
      </c>
      <c r="O56" s="21">
        <v>210.95216550715932</v>
      </c>
      <c r="P56" s="21">
        <v>227.0335952507826</v>
      </c>
      <c r="Q56" s="21">
        <v>274.1897067620258</v>
      </c>
      <c r="R56" s="21">
        <v>365.890805416895</v>
      </c>
      <c r="S56" s="21">
        <v>407.5217652760874</v>
      </c>
      <c r="T56" s="21">
        <v>533.3207079878061</v>
      </c>
      <c r="U56" s="21">
        <v>401.916554414189</v>
      </c>
      <c r="V56" s="21"/>
      <c r="W56" s="124">
        <f>AVERAGE(F56:U56)</f>
        <v>212.48374261436516</v>
      </c>
    </row>
    <row r="57" spans="1:23" ht="15">
      <c r="A57" s="126">
        <f>A56-1</f>
        <v>-33</v>
      </c>
      <c r="B57" t="str">
        <f>"   PCE [("&amp;-1*A40&amp;")+("&amp;-1*A45&amp;")+("&amp;-1*A51&amp;")]"</f>
        <v>   PCE [(22)+(25)+(29)]</v>
      </c>
      <c r="D57" s="139"/>
      <c r="F57" s="21">
        <v>17.634686870180214</v>
      </c>
      <c r="G57" s="21">
        <v>13.781594986762567</v>
      </c>
      <c r="H57" s="21">
        <v>12.126963964987274</v>
      </c>
      <c r="I57" s="21">
        <v>13.506762962552822</v>
      </c>
      <c r="J57" s="21">
        <v>10.916636273496767</v>
      </c>
      <c r="K57" s="21">
        <v>15.930665517065725</v>
      </c>
      <c r="L57" s="21">
        <v>14.674945145258214</v>
      </c>
      <c r="M57" s="21">
        <v>19.233861835143475</v>
      </c>
      <c r="N57" s="21">
        <v>26.599239153525332</v>
      </c>
      <c r="O57" s="21">
        <v>29.257632560229766</v>
      </c>
      <c r="P57" s="21">
        <v>30.420304464444204</v>
      </c>
      <c r="Q57" s="21">
        <v>35.18239180880473</v>
      </c>
      <c r="R57" s="21">
        <v>46.303469659118726</v>
      </c>
      <c r="S57" s="21">
        <v>48.350431432068675</v>
      </c>
      <c r="T57" s="21">
        <v>62.865326874692</v>
      </c>
      <c r="U57" s="21">
        <v>47.37602570304775</v>
      </c>
      <c r="V57" s="21"/>
      <c r="W57" s="124">
        <f>AVERAGE(F57:U57)</f>
        <v>27.76005870071114</v>
      </c>
    </row>
    <row r="58" spans="1:23" ht="15">
      <c r="A58" s="126">
        <f>A57-1</f>
        <v>-34</v>
      </c>
      <c r="B58" t="str">
        <f>"   Financial investments and other [("&amp;-1*A41&amp;")+("&amp;-1*A46&amp;")+("&amp;-1*A52&amp;")]"</f>
        <v>   Financial investments and other [(23)+(26)+(30)]</v>
      </c>
      <c r="D58" s="139"/>
      <c r="F58" s="21">
        <v>90.69645664220009</v>
      </c>
      <c r="G58" s="21">
        <v>70.78778315411475</v>
      </c>
      <c r="H58" s="21">
        <v>62.185116296722846</v>
      </c>
      <c r="I58" s="21">
        <v>69.20648521878424</v>
      </c>
      <c r="J58" s="21">
        <v>55.886377272997585</v>
      </c>
      <c r="K58" s="21">
        <v>81.53748364757887</v>
      </c>
      <c r="L58" s="21">
        <v>75.0244384684789</v>
      </c>
      <c r="M58" s="21">
        <v>98.34908901082471</v>
      </c>
      <c r="N58" s="21">
        <v>135.8605494724257</v>
      </c>
      <c r="O58" s="21">
        <v>148.82008843267997</v>
      </c>
      <c r="P58" s="21">
        <v>154.1146544162703</v>
      </c>
      <c r="Q58" s="21">
        <v>177.30564614260408</v>
      </c>
      <c r="R58" s="21">
        <v>232.9468379773249</v>
      </c>
      <c r="S58" s="21">
        <v>241.19667056410628</v>
      </c>
      <c r="T58" s="21">
        <v>313.32599072768414</v>
      </c>
      <c r="U58" s="21">
        <v>236.1260320770485</v>
      </c>
      <c r="V58" s="21"/>
      <c r="W58" s="124">
        <f>AVERAGE(F58:U58)</f>
        <v>140.21060622011535</v>
      </c>
    </row>
    <row r="59" spans="6:23" ht="15"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W59" s="124"/>
    </row>
  </sheetData>
  <printOptions/>
  <pageMargins left="0.75" right="0.75" top="1.18" bottom="0.59" header="0.42" footer="0.2"/>
  <pageSetup horizontalDpi="600" verticalDpi="600" orientation="landscape" pageOrder="overThenDown" scale="70" r:id="rId1"/>
  <headerFooter alignWithMargins="0">
    <oddHeader>&amp;C&amp;"Arial,Bold"Table 1
Estimates of the Net Proceeds Received by Sellers of Existing Homes and the Uses of Those Funds
&amp;"Arial,Regular"(billions of dollars, except where noted)</oddHeader>
    <oddFooter>&amp;L&amp;10See the appendix for a description of the data.
</oddFooter>
  </headerFooter>
  <rowBreaks count="3" manualBreakCount="3">
    <brk id="35" max="255" man="1"/>
    <brk id="60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Y183"/>
  <sheetViews>
    <sheetView tabSelected="1" zoomScale="90" zoomScaleNormal="90" workbookViewId="0" topLeftCell="A1">
      <pane xSplit="5" ySplit="2" topLeftCell="F43" activePane="bottomRight" state="frozen"/>
      <selection pane="topLeft" activeCell="T12" sqref="T12"/>
      <selection pane="topRight" activeCell="T12" sqref="T12"/>
      <selection pane="bottomLeft" activeCell="T12" sqref="T12"/>
      <selection pane="bottomRight" activeCell="F64" sqref="F64"/>
    </sheetView>
  </sheetViews>
  <sheetFormatPr defaultColWidth="8.88671875" defaultRowHeight="15"/>
  <cols>
    <col min="1" max="1" width="5.4453125" style="18" customWidth="1"/>
    <col min="2" max="2" width="8.77734375" style="13" customWidth="1"/>
    <col min="3" max="3" width="34.77734375" style="13" customWidth="1"/>
    <col min="4" max="4" width="10.21484375" style="13" customWidth="1"/>
    <col min="5" max="5" width="8.77734375" style="13" hidden="1" customWidth="1"/>
    <col min="6" max="21" width="8.77734375" style="13" customWidth="1"/>
    <col min="22" max="22" width="5.10546875" style="15" customWidth="1"/>
    <col min="23" max="25" width="9.77734375" style="13" customWidth="1"/>
    <col min="26" max="16384" width="8.88671875" style="13" customWidth="1"/>
  </cols>
  <sheetData>
    <row r="1" spans="1:25" s="7" customFormat="1" ht="15" customHeight="1">
      <c r="A1" s="1"/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 t="s">
        <v>0</v>
      </c>
      <c r="X1" s="5"/>
      <c r="Y1" s="6"/>
    </row>
    <row r="2" spans="1:25" ht="15" customHeight="1" thickBot="1">
      <c r="A2" s="8"/>
      <c r="B2" s="8"/>
      <c r="C2" s="9"/>
      <c r="D2" s="9"/>
      <c r="E2" s="10">
        <f>1990</f>
        <v>1990</v>
      </c>
      <c r="F2" s="10">
        <f aca="true" t="shared" si="0" ref="F2:U2">E2+1</f>
        <v>1991</v>
      </c>
      <c r="G2" s="10">
        <f t="shared" si="0"/>
        <v>1992</v>
      </c>
      <c r="H2" s="10">
        <f t="shared" si="0"/>
        <v>1993</v>
      </c>
      <c r="I2" s="10">
        <f t="shared" si="0"/>
        <v>1994</v>
      </c>
      <c r="J2" s="10">
        <f t="shared" si="0"/>
        <v>1995</v>
      </c>
      <c r="K2" s="10">
        <f t="shared" si="0"/>
        <v>1996</v>
      </c>
      <c r="L2" s="10">
        <f t="shared" si="0"/>
        <v>1997</v>
      </c>
      <c r="M2" s="10">
        <f t="shared" si="0"/>
        <v>1998</v>
      </c>
      <c r="N2" s="10">
        <f t="shared" si="0"/>
        <v>1999</v>
      </c>
      <c r="O2" s="10">
        <f t="shared" si="0"/>
        <v>2000</v>
      </c>
      <c r="P2" s="10">
        <f t="shared" si="0"/>
        <v>2001</v>
      </c>
      <c r="Q2" s="10">
        <f t="shared" si="0"/>
        <v>2002</v>
      </c>
      <c r="R2" s="10">
        <f t="shared" si="0"/>
        <v>2003</v>
      </c>
      <c r="S2" s="10">
        <f t="shared" si="0"/>
        <v>2004</v>
      </c>
      <c r="T2" s="10">
        <f t="shared" si="0"/>
        <v>2005</v>
      </c>
      <c r="U2" s="10">
        <f t="shared" si="0"/>
        <v>2006</v>
      </c>
      <c r="V2" s="10"/>
      <c r="W2" s="11" t="s">
        <v>1</v>
      </c>
      <c r="X2" s="11" t="s">
        <v>2</v>
      </c>
      <c r="Y2" s="12" t="s">
        <v>3</v>
      </c>
    </row>
    <row r="3" spans="1:25" ht="15" customHeight="1">
      <c r="A3" s="14"/>
      <c r="B3" s="14"/>
      <c r="C3" s="15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/>
      <c r="X3" s="17"/>
      <c r="Y3" s="16"/>
    </row>
    <row r="4" spans="1:25" ht="15" customHeight="1">
      <c r="A4" s="14"/>
      <c r="B4" s="142" t="s">
        <v>67</v>
      </c>
      <c r="C4" s="143"/>
      <c r="D4" s="14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17"/>
      <c r="Y4" s="16"/>
    </row>
    <row r="5" spans="1:25" ht="15" customHeight="1">
      <c r="A5" s="14"/>
      <c r="B5" s="143"/>
      <c r="C5" s="143"/>
      <c r="D5" s="14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7"/>
      <c r="X5" s="17"/>
      <c r="Y5" s="16"/>
    </row>
    <row r="6" spans="1:25" ht="15" customHeight="1">
      <c r="A6" s="14">
        <v>-1</v>
      </c>
      <c r="B6" s="20" t="str">
        <f>"Free cash resulting from equity extraction [("&amp;-1*A7&amp;")+("&amp;-1*A8&amp;")+("&amp;-1*A9&amp;")]:"</f>
        <v>Free cash resulting from equity extraction [(2)+(3)+(4)]:</v>
      </c>
      <c r="C6" s="19"/>
      <c r="D6" s="19"/>
      <c r="E6" s="16"/>
      <c r="F6" s="21">
        <f aca="true" t="shared" si="1" ref="F6:T6">SUM(F7:F9)</f>
        <v>262.16287443860955</v>
      </c>
      <c r="G6" s="21">
        <f t="shared" si="1"/>
        <v>212.15626467850646</v>
      </c>
      <c r="H6" s="21">
        <f t="shared" si="1"/>
        <v>193.15766273407522</v>
      </c>
      <c r="I6" s="21">
        <f t="shared" si="1"/>
        <v>223.37760148388546</v>
      </c>
      <c r="J6" s="21">
        <f t="shared" si="1"/>
        <v>184.53079643085312</v>
      </c>
      <c r="K6" s="21">
        <f t="shared" si="1"/>
        <v>277.05180012794057</v>
      </c>
      <c r="L6" s="21">
        <f t="shared" si="1"/>
        <v>276.01964789762155</v>
      </c>
      <c r="M6" s="21">
        <f t="shared" si="1"/>
        <v>346.8903464664327</v>
      </c>
      <c r="N6" s="21">
        <f t="shared" si="1"/>
        <v>467.2447270906874</v>
      </c>
      <c r="O6" s="21">
        <f t="shared" si="1"/>
        <v>553.376988625175</v>
      </c>
      <c r="P6" s="21">
        <f t="shared" si="1"/>
        <v>626.8696374042258</v>
      </c>
      <c r="Q6" s="21">
        <f t="shared" si="1"/>
        <v>755.9897877124104</v>
      </c>
      <c r="R6" s="21">
        <f t="shared" si="1"/>
        <v>1000.8458752126016</v>
      </c>
      <c r="S6" s="21">
        <f t="shared" si="1"/>
        <v>1165.1255730653904</v>
      </c>
      <c r="T6" s="21">
        <f t="shared" si="1"/>
        <v>1423.0608457064995</v>
      </c>
      <c r="U6" s="21">
        <f>SUM(U7:U9)</f>
        <v>1126.1868309784347</v>
      </c>
      <c r="V6" s="21"/>
      <c r="W6" s="22">
        <f>AVERAGE(F6:O6)</f>
        <v>299.59687099737874</v>
      </c>
      <c r="X6" s="23">
        <f>AVERAGE(P6:T6)</f>
        <v>994.3783438202256</v>
      </c>
      <c r="Y6" s="24">
        <f>AVERAGE(F6:T6)</f>
        <v>531.1906952716611</v>
      </c>
    </row>
    <row r="7" spans="1:25" ht="15" customHeight="1">
      <c r="A7" s="14">
        <f>A6-1</f>
        <v>-2</v>
      </c>
      <c r="B7" s="20" t="str">
        <f>"   Home sales [("&amp;-1*A43&amp;")]"</f>
        <v>   Home sales [(28)]</v>
      </c>
      <c r="C7" s="15"/>
      <c r="D7" s="15"/>
      <c r="E7" s="16"/>
      <c r="F7" s="21">
        <f aca="true" t="shared" si="2" ref="F7:T7">F43</f>
        <v>223.08955767344304</v>
      </c>
      <c r="G7" s="21">
        <f t="shared" si="2"/>
        <v>175.3964058645862</v>
      </c>
      <c r="H7" s="21">
        <f t="shared" si="2"/>
        <v>155.52466839368708</v>
      </c>
      <c r="I7" s="21">
        <f t="shared" si="2"/>
        <v>173.8375233962389</v>
      </c>
      <c r="J7" s="21">
        <f t="shared" si="2"/>
        <v>141.05827927265403</v>
      </c>
      <c r="K7" s="21">
        <f t="shared" si="2"/>
        <v>206.04772381807885</v>
      </c>
      <c r="L7" s="21">
        <f t="shared" si="2"/>
        <v>190.7882135929709</v>
      </c>
      <c r="M7" s="21">
        <f t="shared" si="2"/>
        <v>249.85768524367998</v>
      </c>
      <c r="N7" s="21">
        <f t="shared" si="2"/>
        <v>347.2536598526585</v>
      </c>
      <c r="O7" s="21">
        <f t="shared" si="2"/>
        <v>389.02988650006915</v>
      </c>
      <c r="P7" s="21">
        <f t="shared" si="2"/>
        <v>411.56855413149697</v>
      </c>
      <c r="Q7" s="21">
        <f t="shared" si="2"/>
        <v>486.6777447134345</v>
      </c>
      <c r="R7" s="21">
        <f t="shared" si="2"/>
        <v>645.1411130533385</v>
      </c>
      <c r="S7" s="21">
        <f t="shared" si="2"/>
        <v>697.0688672722624</v>
      </c>
      <c r="T7" s="21">
        <f t="shared" si="2"/>
        <v>909.5120255901824</v>
      </c>
      <c r="U7" s="21">
        <f>U43</f>
        <v>685.4186121942853</v>
      </c>
      <c r="V7" s="21"/>
      <c r="W7" s="22">
        <f>AVERAGE(F7:O7)</f>
        <v>225.18836036080666</v>
      </c>
      <c r="X7" s="23">
        <f>AVERAGE(P7:T7)</f>
        <v>629.9936609521429</v>
      </c>
      <c r="Y7" s="24">
        <f>AVERAGE(F7:T7)</f>
        <v>360.1234605579187</v>
      </c>
    </row>
    <row r="8" spans="1:25" ht="15" customHeight="1">
      <c r="A8" s="14">
        <f>A7-1</f>
        <v>-3</v>
      </c>
      <c r="B8" s="20" t="str">
        <f>"   Home equity loans net of unscheduled payments [("&amp;-1*A71&amp;")-("&amp;-1*A72&amp;")-("&amp;-1*A26&amp;")]"</f>
        <v>   Home equity loans net of unscheduled payments [(47)-(48)-(16)]</v>
      </c>
      <c r="C8" s="15"/>
      <c r="D8" s="15"/>
      <c r="E8" s="16"/>
      <c r="F8" s="21">
        <f aca="true" t="shared" si="3" ref="F8:T8">F71-F72-F26</f>
        <v>21.322897592067115</v>
      </c>
      <c r="G8" s="21">
        <f t="shared" si="3"/>
        <v>11.445722521402793</v>
      </c>
      <c r="H8" s="21">
        <f t="shared" si="3"/>
        <v>11.199555987129576</v>
      </c>
      <c r="I8" s="21">
        <f t="shared" si="3"/>
        <v>32.18825756104855</v>
      </c>
      <c r="J8" s="21">
        <f t="shared" si="3"/>
        <v>30.708463638403757</v>
      </c>
      <c r="K8" s="21">
        <f t="shared" si="3"/>
        <v>49.18427669716963</v>
      </c>
      <c r="L8" s="21">
        <f t="shared" si="3"/>
        <v>59.3509419385572</v>
      </c>
      <c r="M8" s="21">
        <f t="shared" si="3"/>
        <v>50.102660110158624</v>
      </c>
      <c r="N8" s="21">
        <f t="shared" si="3"/>
        <v>74.40883312871912</v>
      </c>
      <c r="O8" s="21">
        <f t="shared" si="3"/>
        <v>131.75258511507354</v>
      </c>
      <c r="P8" s="21">
        <f t="shared" si="3"/>
        <v>109.35987048315654</v>
      </c>
      <c r="Q8" s="21">
        <f t="shared" si="3"/>
        <v>129.28603524949048</v>
      </c>
      <c r="R8" s="21">
        <f t="shared" si="3"/>
        <v>182.51374510164516</v>
      </c>
      <c r="S8" s="21">
        <f t="shared" si="3"/>
        <v>322.3079278208663</v>
      </c>
      <c r="T8" s="21">
        <f t="shared" si="3"/>
        <v>316.2475640815644</v>
      </c>
      <c r="U8" s="21">
        <f>U71-U72-U26</f>
        <v>267.10152255830644</v>
      </c>
      <c r="V8" s="21"/>
      <c r="W8" s="22">
        <f>AVERAGE(F8:O8)</f>
        <v>47.16641942897299</v>
      </c>
      <c r="X8" s="23">
        <f>AVERAGE(P8:T8)</f>
        <v>211.9430285473446</v>
      </c>
      <c r="Y8" s="24">
        <f>AVERAGE(F8:T8)</f>
        <v>102.09195580176353</v>
      </c>
    </row>
    <row r="9" spans="1:25" ht="15" customHeight="1">
      <c r="A9" s="14">
        <f>A8-1</f>
        <v>-4</v>
      </c>
      <c r="B9" s="20" t="str">
        <f>"   Cash out refinancings [("&amp;-1*A122&amp;")]"</f>
        <v>   Cash out refinancings [(85)]</v>
      </c>
      <c r="C9" s="15"/>
      <c r="D9" s="15"/>
      <c r="E9" s="16"/>
      <c r="F9" s="21">
        <f aca="true" t="shared" si="4" ref="F9:T9">F122</f>
        <v>17.7504191730994</v>
      </c>
      <c r="G9" s="21">
        <f t="shared" si="4"/>
        <v>25.31413629251747</v>
      </c>
      <c r="H9" s="21">
        <f t="shared" si="4"/>
        <v>26.43343835325857</v>
      </c>
      <c r="I9" s="21">
        <f t="shared" si="4"/>
        <v>17.35182052659801</v>
      </c>
      <c r="J9" s="21">
        <f t="shared" si="4"/>
        <v>12.764053519795326</v>
      </c>
      <c r="K9" s="21">
        <f t="shared" si="4"/>
        <v>21.819799612692087</v>
      </c>
      <c r="L9" s="21">
        <f t="shared" si="4"/>
        <v>25.880492366093456</v>
      </c>
      <c r="M9" s="21">
        <f t="shared" si="4"/>
        <v>46.930001112594105</v>
      </c>
      <c r="N9" s="21">
        <f t="shared" si="4"/>
        <v>45.582234109309795</v>
      </c>
      <c r="O9" s="21">
        <f t="shared" si="4"/>
        <v>32.59451701003243</v>
      </c>
      <c r="P9" s="21">
        <f t="shared" si="4"/>
        <v>105.9412127895723</v>
      </c>
      <c r="Q9" s="21">
        <f t="shared" si="4"/>
        <v>140.02600774948547</v>
      </c>
      <c r="R9" s="21">
        <f t="shared" si="4"/>
        <v>173.19101705761796</v>
      </c>
      <c r="S9" s="21">
        <f t="shared" si="4"/>
        <v>145.74877797226162</v>
      </c>
      <c r="T9" s="21">
        <f t="shared" si="4"/>
        <v>197.3012560347529</v>
      </c>
      <c r="U9" s="21">
        <f>U122</f>
        <v>173.66669622584294</v>
      </c>
      <c r="V9" s="21"/>
      <c r="W9" s="22">
        <f>AVERAGE(F9:O9)</f>
        <v>27.24209120759906</v>
      </c>
      <c r="X9" s="23">
        <f>AVERAGE(P9:T9)</f>
        <v>152.44165432073805</v>
      </c>
      <c r="Y9" s="24">
        <f>AVERAGE(F9:T9)</f>
        <v>68.97527891197872</v>
      </c>
    </row>
    <row r="10" spans="1:24" ht="15" customHeight="1">
      <c r="A10" s="14"/>
      <c r="B10" s="14"/>
      <c r="C10" s="15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  <c r="X10" s="17"/>
    </row>
    <row r="11" spans="1:25" s="32" customFormat="1" ht="15" customHeight="1">
      <c r="A11" s="25"/>
      <c r="B11" s="26" t="s">
        <v>4</v>
      </c>
      <c r="C11" s="27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9"/>
      <c r="X11" s="30"/>
      <c r="Y11" s="31"/>
    </row>
    <row r="12" spans="1:25" ht="15" customHeight="1">
      <c r="A12" s="14">
        <f>A9-1</f>
        <v>-5</v>
      </c>
      <c r="B12" s="33" t="str">
        <f>"Repayment of non-mortgage debt [("&amp;-1*A46&amp;")+("&amp;-1*A73&amp;")+("&amp;-1*A124&amp;")]"</f>
        <v>Repayment of non-mortgage debt [(30)+(49)+(86)]</v>
      </c>
      <c r="C12" s="15"/>
      <c r="D12" s="15"/>
      <c r="E12" s="21"/>
      <c r="F12" s="21">
        <v>12.098328409940095</v>
      </c>
      <c r="G12" s="21">
        <v>11.333762380142113</v>
      </c>
      <c r="H12" s="21">
        <v>12.501261432098758</v>
      </c>
      <c r="I12" s="21">
        <v>18.587469434305916</v>
      </c>
      <c r="J12" s="21">
        <v>16.147648236618068</v>
      </c>
      <c r="K12" s="21">
        <v>24.75015884131227</v>
      </c>
      <c r="L12" s="21">
        <v>28.934669041214654</v>
      </c>
      <c r="M12" s="21">
        <v>32.534080796698746</v>
      </c>
      <c r="N12" s="21">
        <v>39.64172475267195</v>
      </c>
      <c r="O12" s="21">
        <v>55.12869567322136</v>
      </c>
      <c r="P12" s="21">
        <v>61.49836029579658</v>
      </c>
      <c r="Q12" s="21">
        <v>70.98354812356614</v>
      </c>
      <c r="R12" s="21">
        <v>93.51507401539463</v>
      </c>
      <c r="S12" s="21">
        <v>124.22412305917996</v>
      </c>
      <c r="T12" s="21">
        <v>143.60723858003738</v>
      </c>
      <c r="U12" s="21">
        <v>125.06167513913184</v>
      </c>
      <c r="V12" s="21"/>
      <c r="W12" s="22">
        <f aca="true" t="shared" si="5" ref="W12:W18">AVERAGE(F12:O12)</f>
        <v>25.16577989982239</v>
      </c>
      <c r="X12" s="23">
        <f aca="true" t="shared" si="6" ref="X12:X18">AVERAGE(P12:T12)</f>
        <v>98.76566881479494</v>
      </c>
      <c r="Y12" s="24">
        <f>AVERAGE(F12:T12)</f>
        <v>49.69907620481324</v>
      </c>
    </row>
    <row r="13" spans="1:25" ht="15" customHeight="1">
      <c r="A13" s="14">
        <f aca="true" t="shared" si="7" ref="A13:A18">A12-1</f>
        <v>-6</v>
      </c>
      <c r="B13" s="33" t="s">
        <v>68</v>
      </c>
      <c r="C13" s="15"/>
      <c r="D13" s="15"/>
      <c r="E13" s="21"/>
      <c r="F13" s="34">
        <v>0.014675473664729594</v>
      </c>
      <c r="G13" s="34">
        <v>0.013896550287638032</v>
      </c>
      <c r="H13" s="34">
        <v>0.015157288200815935</v>
      </c>
      <c r="I13" s="34">
        <v>0.02097508424951213</v>
      </c>
      <c r="J13" s="34">
        <v>0.015815646191760627</v>
      </c>
      <c r="K13" s="34">
        <v>0.02117490344418269</v>
      </c>
      <c r="L13" s="34">
        <v>0.0227157007767584</v>
      </c>
      <c r="M13" s="34">
        <v>0.024191515662802865</v>
      </c>
      <c r="N13" s="34">
        <v>0.027488658823081664</v>
      </c>
      <c r="O13" s="34">
        <v>0.03541693826284022</v>
      </c>
      <c r="P13" s="34">
        <v>0.03516925170177771</v>
      </c>
      <c r="Q13" s="34">
        <v>0.03736707825088183</v>
      </c>
      <c r="R13" s="34">
        <v>0.04647395294681585</v>
      </c>
      <c r="S13" s="34">
        <v>0.058704805278805464</v>
      </c>
      <c r="T13" s="34">
        <v>0.06433356012310447</v>
      </c>
      <c r="U13" s="34">
        <v>0.05642393411993053</v>
      </c>
      <c r="V13" s="21"/>
      <c r="W13" s="35">
        <f t="shared" si="5"/>
        <v>0.02115077595641221</v>
      </c>
      <c r="X13" s="36">
        <f t="shared" si="6"/>
        <v>0.04840972966027707</v>
      </c>
      <c r="Y13" s="37">
        <f>AVERAGE(F13:T13)</f>
        <v>0.030237093857700494</v>
      </c>
    </row>
    <row r="14" spans="1:25" ht="15" customHeight="1">
      <c r="A14" s="14">
        <f t="shared" si="7"/>
        <v>-7</v>
      </c>
      <c r="B14" s="33" t="str">
        <f>"Home improvements [("&amp;-1*A74&amp;")+("&amp;-1*A125&amp;")]"</f>
        <v>Home improvements [(50)+(87)]</v>
      </c>
      <c r="C14" s="15"/>
      <c r="D14" s="15"/>
      <c r="E14" s="21"/>
      <c r="F14" s="21">
        <v>13.180802981684224</v>
      </c>
      <c r="G14" s="21">
        <v>12.828692573759856</v>
      </c>
      <c r="H14" s="21">
        <v>13.178261637240189</v>
      </c>
      <c r="I14" s="21">
        <v>16.445057968361844</v>
      </c>
      <c r="J14" s="21">
        <v>14.922587345406154</v>
      </c>
      <c r="K14" s="21">
        <v>24.54108352624384</v>
      </c>
      <c r="L14" s="21">
        <v>29.215185927019384</v>
      </c>
      <c r="M14" s="21">
        <v>33.592391198068796</v>
      </c>
      <c r="N14" s="21">
        <v>40.995029751524484</v>
      </c>
      <c r="O14" s="21">
        <v>54.77100756891899</v>
      </c>
      <c r="P14" s="21">
        <v>71.64913262021247</v>
      </c>
      <c r="Q14" s="21">
        <v>88.6967917123134</v>
      </c>
      <c r="R14" s="21">
        <v>116.0316927155513</v>
      </c>
      <c r="S14" s="21">
        <v>149.59395558017368</v>
      </c>
      <c r="T14" s="21">
        <v>165.4831886539043</v>
      </c>
      <c r="U14" s="21">
        <v>142.610432307186</v>
      </c>
      <c r="V14" s="21"/>
      <c r="W14" s="22">
        <f t="shared" si="5"/>
        <v>25.367010047822777</v>
      </c>
      <c r="X14" s="23">
        <f t="shared" si="6"/>
        <v>118.29095225643104</v>
      </c>
      <c r="Y14" s="24">
        <f>AVERAGE(F14:T14)</f>
        <v>56.341657450692196</v>
      </c>
    </row>
    <row r="15" spans="1:25" s="33" customFormat="1" ht="15" customHeight="1">
      <c r="A15" s="14">
        <f t="shared" si="7"/>
        <v>-8</v>
      </c>
      <c r="B15" s="33" t="s">
        <v>5</v>
      </c>
      <c r="E15" s="38"/>
      <c r="F15" s="34">
        <v>0.23181355765851305</v>
      </c>
      <c r="G15" s="34">
        <v>0.2202993590191104</v>
      </c>
      <c r="H15" s="34">
        <v>0.19491586506789216</v>
      </c>
      <c r="I15" s="34">
        <v>0.21419808490214057</v>
      </c>
      <c r="J15" s="34">
        <v>0.18680086806542096</v>
      </c>
      <c r="K15" s="34">
        <v>0.2958681976978256</v>
      </c>
      <c r="L15" s="34">
        <v>0.328496738407612</v>
      </c>
      <c r="M15" s="34">
        <v>0.3658624350400122</v>
      </c>
      <c r="N15" s="34">
        <v>0.43149937637122376</v>
      </c>
      <c r="O15" s="34">
        <v>0.5326986283424983</v>
      </c>
      <c r="P15" s="34">
        <v>0.6548203460144808</v>
      </c>
      <c r="Q15" s="34">
        <v>0.7668885136550294</v>
      </c>
      <c r="R15" s="34">
        <v>0.9231577111588137</v>
      </c>
      <c r="S15" s="34">
        <v>1.0840377369085825</v>
      </c>
      <c r="T15" s="34">
        <v>1.0860329757957676</v>
      </c>
      <c r="U15" s="34">
        <v>0.9129404795287497</v>
      </c>
      <c r="V15" s="34"/>
      <c r="W15" s="35">
        <f t="shared" si="5"/>
        <v>0.30024531105722485</v>
      </c>
      <c r="X15" s="36">
        <f t="shared" si="6"/>
        <v>0.9029874567065349</v>
      </c>
      <c r="Y15" s="36">
        <f>AVERAGE(F15:R15)</f>
        <v>0.4113322831846594</v>
      </c>
    </row>
    <row r="16" spans="1:25" ht="15" customHeight="1">
      <c r="A16" s="14">
        <f t="shared" si="7"/>
        <v>-9</v>
      </c>
      <c r="B16" s="33" t="str">
        <f>"Personal consumption expenditures [("&amp;-1*A47&amp;")+("&amp;-1*A75&amp;")+("&amp;-1*A126&amp;")]"</f>
        <v>Personal consumption expenditures [(31)+(51)+(88)]</v>
      </c>
      <c r="C16" s="15"/>
      <c r="D16" s="15"/>
      <c r="E16" s="21"/>
      <c r="F16" s="21">
        <v>26.282182355060794</v>
      </c>
      <c r="G16" s="21">
        <v>21.299024101329213</v>
      </c>
      <c r="H16" s="21">
        <v>19.258218091747594</v>
      </c>
      <c r="I16" s="21">
        <v>22.844420492730865</v>
      </c>
      <c r="J16" s="21">
        <v>19.63627397953788</v>
      </c>
      <c r="K16" s="21">
        <v>30.22511320263799</v>
      </c>
      <c r="L16" s="21">
        <v>32.44178764140942</v>
      </c>
      <c r="M16" s="21">
        <v>37.50854339294013</v>
      </c>
      <c r="N16" s="21">
        <v>51.145689703043466</v>
      </c>
      <c r="O16" s="21">
        <v>64.28313046214595</v>
      </c>
      <c r="P16" s="21">
        <v>79.23242339037024</v>
      </c>
      <c r="Q16" s="21">
        <v>101.08373461546961</v>
      </c>
      <c r="R16" s="21">
        <v>133.44706927868026</v>
      </c>
      <c r="S16" s="21">
        <v>169.95293070313627</v>
      </c>
      <c r="T16" s="21">
        <v>182.1621905305797</v>
      </c>
      <c r="U16" s="21">
        <v>147.70488630176058</v>
      </c>
      <c r="V16" s="21"/>
      <c r="W16" s="22">
        <f t="shared" si="5"/>
        <v>32.49243834225833</v>
      </c>
      <c r="X16" s="23">
        <f t="shared" si="6"/>
        <v>133.1756697036472</v>
      </c>
      <c r="Y16" s="24">
        <f>AVERAGE(F16:T16)</f>
        <v>66.0535154627213</v>
      </c>
    </row>
    <row r="17" spans="1:25" s="33" customFormat="1" ht="15" customHeight="1">
      <c r="A17" s="39">
        <f t="shared" si="7"/>
        <v>-10</v>
      </c>
      <c r="B17" s="33" t="s">
        <v>6</v>
      </c>
      <c r="E17" s="40"/>
      <c r="F17" s="40">
        <v>0.00659351533572131</v>
      </c>
      <c r="G17" s="40">
        <v>0.005028972898279514</v>
      </c>
      <c r="H17" s="40">
        <v>0.0043007380862742</v>
      </c>
      <c r="I17" s="40">
        <v>0.004816158689282392</v>
      </c>
      <c r="J17" s="40">
        <v>0.00394636526703144</v>
      </c>
      <c r="K17" s="40">
        <v>0.0057496818930522255</v>
      </c>
      <c r="L17" s="40">
        <v>0.005848106796230562</v>
      </c>
      <c r="M17" s="40">
        <v>0.0063795657165118804</v>
      </c>
      <c r="N17" s="40">
        <v>0.008141009018346902</v>
      </c>
      <c r="O17" s="40">
        <v>0.009538435640250365</v>
      </c>
      <c r="P17" s="40">
        <v>0.011230616901805305</v>
      </c>
      <c r="Q17" s="40">
        <v>0.013751539167341549</v>
      </c>
      <c r="R17" s="40">
        <v>0.017322621839143397</v>
      </c>
      <c r="S17" s="40">
        <v>0.020696931509424966</v>
      </c>
      <c r="T17" s="40">
        <v>0.02083675214469835</v>
      </c>
      <c r="U17" s="40">
        <v>0.015935354262305763</v>
      </c>
      <c r="V17" s="34"/>
      <c r="W17" s="35">
        <f t="shared" si="5"/>
        <v>0.006034254934098078</v>
      </c>
      <c r="X17" s="36">
        <f t="shared" si="6"/>
        <v>0.016767692312482714</v>
      </c>
      <c r="Y17" s="37">
        <f>AVERAGE(F17:T17)</f>
        <v>0.009612067393559624</v>
      </c>
    </row>
    <row r="18" spans="1:25" ht="15" customHeight="1">
      <c r="A18" s="14">
        <f t="shared" si="7"/>
        <v>-11</v>
      </c>
      <c r="B18" s="33" t="str">
        <f>"Acquisition of assets and other [("&amp;-1*A48&amp;")+("&amp;-1*A76&amp;")+("&amp;-1*A127&amp;")-("&amp;-1*A26&amp;")]"</f>
        <v>Acquisition of assets and other [(32)+(52)+(89)-(16)]</v>
      </c>
      <c r="C18" s="15"/>
      <c r="D18" s="15"/>
      <c r="E18" s="16"/>
      <c r="F18" s="21">
        <v>95.84314653086176</v>
      </c>
      <c r="G18" s="21">
        <v>75.86775789956646</v>
      </c>
      <c r="H18" s="21">
        <v>67.00733344101175</v>
      </c>
      <c r="I18" s="21">
        <v>74.37637837358498</v>
      </c>
      <c r="J18" s="21">
        <v>59.569021143131344</v>
      </c>
      <c r="K18" s="21">
        <v>88.95586990431222</v>
      </c>
      <c r="L18" s="21">
        <v>84.33917530874436</v>
      </c>
      <c r="M18" s="21">
        <v>110.98059668101328</v>
      </c>
      <c r="N18" s="21">
        <v>150.66841165674003</v>
      </c>
      <c r="O18" s="21">
        <v>168.24503352797174</v>
      </c>
      <c r="P18" s="21">
        <v>187.46343961856286</v>
      </c>
      <c r="Q18" s="21">
        <v>221.05213774204293</v>
      </c>
      <c r="R18" s="21">
        <v>291.9907333833433</v>
      </c>
      <c r="S18" s="21">
        <v>313.8815323560069</v>
      </c>
      <c r="T18" s="21">
        <v>398.5395075645731</v>
      </c>
      <c r="U18" s="21">
        <v>308.9444449002171</v>
      </c>
      <c r="V18" s="21"/>
      <c r="W18" s="22">
        <f t="shared" si="5"/>
        <v>97.58527244669379</v>
      </c>
      <c r="X18" s="23">
        <f t="shared" si="6"/>
        <v>282.5854701329058</v>
      </c>
      <c r="Y18" s="24">
        <f>AVERAGE(F18:T18)</f>
        <v>159.25200500876448</v>
      </c>
    </row>
    <row r="19" spans="1:25" ht="15" customHeight="1">
      <c r="A19" s="14"/>
      <c r="B19" s="42"/>
      <c r="C19" s="42"/>
      <c r="D19" s="4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2"/>
      <c r="X19" s="23"/>
      <c r="Y19" s="24"/>
    </row>
    <row r="20" spans="1:25" ht="15" customHeight="1">
      <c r="A20" s="39"/>
      <c r="B20" s="33"/>
      <c r="C20" s="42"/>
      <c r="D20" s="42"/>
      <c r="E20" s="21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21"/>
      <c r="W20" s="35"/>
      <c r="X20" s="36"/>
      <c r="Y20" s="37"/>
    </row>
    <row r="21" spans="1:25" ht="15" customHeight="1">
      <c r="A21" s="39"/>
      <c r="B21" s="33" t="s">
        <v>7</v>
      </c>
      <c r="C21" s="42"/>
      <c r="D21" s="42"/>
      <c r="E21" s="21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21"/>
      <c r="W21" s="35"/>
      <c r="X21" s="36"/>
      <c r="Y21" s="37"/>
    </row>
    <row r="22" spans="1:25" ht="15" customHeight="1">
      <c r="A22" s="39">
        <f>A18-1</f>
        <v>-12</v>
      </c>
      <c r="B22" s="33" t="str">
        <f>"PCE plus non-mortgage debt repayment [("&amp;-1*A12&amp;")+("&amp;-1*A16&amp;")]"</f>
        <v>PCE plus non-mortgage debt repayment [(5)+(9)]</v>
      </c>
      <c r="C22" s="33"/>
      <c r="D22" s="33"/>
      <c r="E22" s="40"/>
      <c r="F22" s="38">
        <f aca="true" t="shared" si="8" ref="F22:T22">F12+F16</f>
        <v>38.38051076500089</v>
      </c>
      <c r="G22" s="38">
        <f t="shared" si="8"/>
        <v>32.63278648147133</v>
      </c>
      <c r="H22" s="38">
        <f t="shared" si="8"/>
        <v>31.759479523846352</v>
      </c>
      <c r="I22" s="38">
        <f t="shared" si="8"/>
        <v>41.43188992703678</v>
      </c>
      <c r="J22" s="38">
        <f t="shared" si="8"/>
        <v>35.78392221615594</v>
      </c>
      <c r="K22" s="38">
        <f t="shared" si="8"/>
        <v>54.975272043950255</v>
      </c>
      <c r="L22" s="38">
        <f t="shared" si="8"/>
        <v>61.376456682624074</v>
      </c>
      <c r="M22" s="38">
        <f t="shared" si="8"/>
        <v>70.04262418963887</v>
      </c>
      <c r="N22" s="38">
        <f t="shared" si="8"/>
        <v>90.7874144557154</v>
      </c>
      <c r="O22" s="38">
        <f t="shared" si="8"/>
        <v>119.4118261353673</v>
      </c>
      <c r="P22" s="38">
        <f t="shared" si="8"/>
        <v>140.73078368616683</v>
      </c>
      <c r="Q22" s="38">
        <f t="shared" si="8"/>
        <v>172.06728273903576</v>
      </c>
      <c r="R22" s="38">
        <f t="shared" si="8"/>
        <v>226.9621432940749</v>
      </c>
      <c r="S22" s="38">
        <f t="shared" si="8"/>
        <v>294.17705376231623</v>
      </c>
      <c r="T22" s="38">
        <f t="shared" si="8"/>
        <v>325.76942911061707</v>
      </c>
      <c r="U22" s="38">
        <f>U12+U16</f>
        <v>272.7665614408924</v>
      </c>
      <c r="V22" s="34"/>
      <c r="W22" s="22">
        <f>AVERAGE(F22:O22)</f>
        <v>57.658218242080714</v>
      </c>
      <c r="X22" s="23">
        <f>AVERAGE(P22:T22)</f>
        <v>231.94133851844217</v>
      </c>
      <c r="Y22" s="24">
        <f>AVERAGE(F22:T22)</f>
        <v>115.75259166753453</v>
      </c>
    </row>
    <row r="23" spans="1:25" ht="15" customHeight="1">
      <c r="A23" s="39">
        <f>A22-1</f>
        <v>-13</v>
      </c>
      <c r="B23" s="33" t="s">
        <v>8</v>
      </c>
      <c r="C23" s="33"/>
      <c r="D23" s="33"/>
      <c r="E23" s="40"/>
      <c r="F23" s="40">
        <v>0.009628670971956842</v>
      </c>
      <c r="G23" s="40">
        <v>0.0077050196304731065</v>
      </c>
      <c r="H23" s="40">
        <v>0.007092515129786691</v>
      </c>
      <c r="I23" s="40">
        <v>0.008734848701851929</v>
      </c>
      <c r="J23" s="40">
        <v>0.007191610175084545</v>
      </c>
      <c r="K23" s="40">
        <v>0.010457870715572151</v>
      </c>
      <c r="L23" s="40">
        <v>0.011064004160980653</v>
      </c>
      <c r="M23" s="40">
        <v>0.011913059893945402</v>
      </c>
      <c r="N23" s="40">
        <v>0.014450898289331236</v>
      </c>
      <c r="O23" s="40">
        <v>0.01771852133037742</v>
      </c>
      <c r="P23" s="40">
        <v>0.0199475599791166</v>
      </c>
      <c r="Q23" s="40">
        <v>0.023408216831373053</v>
      </c>
      <c r="R23" s="40">
        <v>0.029461713931493973</v>
      </c>
      <c r="S23" s="40">
        <v>0.03582499170901752</v>
      </c>
      <c r="T23" s="40">
        <v>0.0372633685998539</v>
      </c>
      <c r="U23" s="40">
        <v>0.02942781309611828</v>
      </c>
      <c r="V23" s="34"/>
      <c r="W23" s="35">
        <f>AVERAGE(F23:O23)</f>
        <v>0.010595701899935998</v>
      </c>
      <c r="X23" s="36">
        <f>AVERAGE(P23:T23)</f>
        <v>0.02918117021017101</v>
      </c>
      <c r="Y23" s="37">
        <f>AVERAGE(F23:T23)</f>
        <v>0.016790858003347668</v>
      </c>
    </row>
    <row r="24" spans="1:25" ht="15">
      <c r="A24" s="43">
        <f>A23-1</f>
        <v>-14</v>
      </c>
      <c r="B24" s="44" t="str">
        <f>"HE debt repayment resulting from home sales and refis [("&amp;-1*A42&amp;")+("&amp;-1*A121&amp;")]"</f>
        <v>HE debt repayment resulting from home sales and refis [(27)+(84)]</v>
      </c>
      <c r="F24" s="45">
        <f aca="true" t="shared" si="9" ref="F24:T24">F42+F121</f>
        <v>16.798321175631227</v>
      </c>
      <c r="G24" s="45">
        <f t="shared" si="9"/>
        <v>19.1040962121462</v>
      </c>
      <c r="H24" s="45">
        <f t="shared" si="9"/>
        <v>20.844786487194682</v>
      </c>
      <c r="I24" s="45">
        <f t="shared" si="9"/>
        <v>24.059499264750027</v>
      </c>
      <c r="J24" s="45">
        <f t="shared" si="9"/>
        <v>18.440382196323185</v>
      </c>
      <c r="K24" s="45">
        <f t="shared" si="9"/>
        <v>27.79976717245354</v>
      </c>
      <c r="L24" s="45">
        <f t="shared" si="9"/>
        <v>28.853598855342188</v>
      </c>
      <c r="M24" s="45">
        <f t="shared" si="9"/>
        <v>41.189961507720625</v>
      </c>
      <c r="N24" s="45">
        <f t="shared" si="9"/>
        <v>54.55752415321125</v>
      </c>
      <c r="O24" s="45">
        <f t="shared" si="9"/>
        <v>64.00359681502997</v>
      </c>
      <c r="P24" s="45">
        <f t="shared" si="9"/>
        <v>77.10826738060776</v>
      </c>
      <c r="Q24" s="45">
        <f t="shared" si="9"/>
        <v>79.48627914434346</v>
      </c>
      <c r="R24" s="45">
        <f t="shared" si="9"/>
        <v>97.42834810272606</v>
      </c>
      <c r="S24" s="45">
        <f t="shared" si="9"/>
        <v>145.74075374361684</v>
      </c>
      <c r="T24" s="45">
        <f t="shared" si="9"/>
        <v>190.3259221482864</v>
      </c>
      <c r="U24" s="45">
        <f>U42+U121</f>
        <v>171.71758700616533</v>
      </c>
      <c r="W24" s="22">
        <f>AVERAGE(F24:O24)</f>
        <v>31.565153383980295</v>
      </c>
      <c r="X24" s="23">
        <f>AVERAGE(P24:T24)</f>
        <v>118.01791410391611</v>
      </c>
      <c r="Y24" s="24">
        <f>AVERAGE(F24:T24)</f>
        <v>60.38274029062556</v>
      </c>
    </row>
    <row r="25" spans="1:25" ht="15">
      <c r="A25" s="43">
        <f>A24-1</f>
        <v>-15</v>
      </c>
      <c r="B25" s="44" t="s">
        <v>69</v>
      </c>
      <c r="F25" s="46">
        <v>0.07824454411305243</v>
      </c>
      <c r="G25" s="46">
        <v>0.0860583639449804</v>
      </c>
      <c r="H25" s="46">
        <v>0.09601025511120943</v>
      </c>
      <c r="I25" s="46">
        <v>0.11436210316926528</v>
      </c>
      <c r="J25" s="46">
        <v>0.08313968528549677</v>
      </c>
      <c r="K25" s="46">
        <v>0.11706643859204759</v>
      </c>
      <c r="L25" s="46">
        <v>0.10989753896531018</v>
      </c>
      <c r="M25" s="46">
        <v>0.13869607888652644</v>
      </c>
      <c r="N25" s="46">
        <v>0.17603176250511807</v>
      </c>
      <c r="O25" s="46">
        <v>0.19143266380041266</v>
      </c>
      <c r="P25" s="46">
        <v>0.18929242022979686</v>
      </c>
      <c r="Q25" s="46">
        <v>0.17856668009557428</v>
      </c>
      <c r="R25" s="46">
        <v>0.1944173130778961</v>
      </c>
      <c r="S25" s="46">
        <v>0.24560702698666448</v>
      </c>
      <c r="T25" s="46">
        <v>0.24446204116406964</v>
      </c>
      <c r="U25" s="46">
        <v>0.18790977206500697</v>
      </c>
      <c r="W25" s="35">
        <f>AVERAGE(F25:O25)</f>
        <v>0.11909394343734192</v>
      </c>
      <c r="X25" s="36">
        <f>AVERAGE(P25:T25)</f>
        <v>0.2104690963108003</v>
      </c>
      <c r="Y25" s="37">
        <f>AVERAGE(F25:T25)</f>
        <v>0.14955232772849467</v>
      </c>
    </row>
    <row r="26" spans="1:25" ht="15">
      <c r="A26" s="43">
        <f>A25-1</f>
        <v>-16</v>
      </c>
      <c r="B26" s="44" t="s">
        <v>9</v>
      </c>
      <c r="F26" s="21">
        <v>2.409276209552144</v>
      </c>
      <c r="G26" s="21">
        <v>2.5809830828825473</v>
      </c>
      <c r="H26" s="21">
        <v>2.748657967893728</v>
      </c>
      <c r="I26" s="21">
        <v>2.920312860712764</v>
      </c>
      <c r="J26" s="21">
        <v>3.077872288230629</v>
      </c>
      <c r="K26" s="21">
        <v>3.2496021529410597</v>
      </c>
      <c r="L26" s="21">
        <v>3.442252174226346</v>
      </c>
      <c r="M26" s="21">
        <v>3.682362651546616</v>
      </c>
      <c r="N26" s="21">
        <v>4.050762530358932</v>
      </c>
      <c r="O26" s="21">
        <v>4.413331845177461</v>
      </c>
      <c r="P26" s="21">
        <v>4.798925027843387</v>
      </c>
      <c r="Q26" s="21">
        <v>5.326342287554896</v>
      </c>
      <c r="R26" s="21">
        <v>6.054659975293404</v>
      </c>
      <c r="S26" s="21">
        <v>6.7916016796990775</v>
      </c>
      <c r="T26" s="21">
        <v>7.663284866570249</v>
      </c>
      <c r="U26" s="21">
        <v>8.584573205382908</v>
      </c>
      <c r="W26" s="22">
        <f>AVERAGE(F26:O26)</f>
        <v>3.257541376352223</v>
      </c>
      <c r="X26" s="23">
        <f>AVERAGE(P26:T26)</f>
        <v>6.126962767392203</v>
      </c>
      <c r="Y26" s="24">
        <f>AVERAGE(F26:T26)</f>
        <v>4.214015173365549</v>
      </c>
    </row>
    <row r="27" spans="1:25" ht="15">
      <c r="A27" s="43">
        <f>A26-1</f>
        <v>-17</v>
      </c>
      <c r="B27" s="150" t="str">
        <f>"Closing costs on existing home sales, refinancings, and home equity loans [("&amp;-1*A41&amp;")+("&amp;-1*A72&amp;")+("&amp;-1*A120&amp;")]"</f>
        <v>Closing costs on existing home sales, refinancings, and home equity loans [(26)+(48)+(83)]</v>
      </c>
      <c r="C27" s="151"/>
      <c r="D27" s="15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W27" s="22"/>
      <c r="X27" s="23"/>
      <c r="Y27" s="24"/>
    </row>
    <row r="28" spans="1:25" ht="15">
      <c r="A28" s="13"/>
      <c r="B28" s="151"/>
      <c r="C28" s="151"/>
      <c r="D28" s="151"/>
      <c r="F28" s="45">
        <f aca="true" t="shared" si="10" ref="F28:T28">F41+F72+F120</f>
        <v>42.121850589103424</v>
      </c>
      <c r="G28" s="45">
        <f t="shared" si="10"/>
        <v>50.13656331054534</v>
      </c>
      <c r="H28" s="45">
        <f t="shared" si="10"/>
        <v>50.693866886763864</v>
      </c>
      <c r="I28" s="45">
        <f t="shared" si="10"/>
        <v>42.873748249493666</v>
      </c>
      <c r="J28" s="45">
        <f t="shared" si="10"/>
        <v>37.14442485613621</v>
      </c>
      <c r="K28" s="45">
        <f t="shared" si="10"/>
        <v>47.74754677818804</v>
      </c>
      <c r="L28" s="45">
        <f t="shared" si="10"/>
        <v>49.64793356956787</v>
      </c>
      <c r="M28" s="45">
        <f t="shared" si="10"/>
        <v>69.40032507340052</v>
      </c>
      <c r="N28" s="45">
        <f t="shared" si="10"/>
        <v>73.6958489896096</v>
      </c>
      <c r="O28" s="45">
        <f t="shared" si="10"/>
        <v>73.66087059696274</v>
      </c>
      <c r="P28" s="45">
        <f t="shared" si="10"/>
        <v>96.06940285140223</v>
      </c>
      <c r="Q28" s="45">
        <f t="shared" si="10"/>
        <v>116.77031777034637</v>
      </c>
      <c r="R28" s="45">
        <f t="shared" si="10"/>
        <v>151.744618175918</v>
      </c>
      <c r="S28" s="45">
        <f t="shared" si="10"/>
        <v>144.73733953143343</v>
      </c>
      <c r="T28" s="45">
        <f t="shared" si="10"/>
        <v>169.29302610985968</v>
      </c>
      <c r="U28" s="45">
        <f>U41+U72+U120</f>
        <v>147.00571607689682</v>
      </c>
      <c r="W28" s="22">
        <f>AVERAGE(F28:O28)</f>
        <v>53.71229788997713</v>
      </c>
      <c r="X28" s="23">
        <f>AVERAGE(P28:T28)</f>
        <v>135.72294088779194</v>
      </c>
      <c r="Y28" s="24">
        <f>AVERAGE(F28:T28)</f>
        <v>81.04917888924874</v>
      </c>
    </row>
    <row r="29" spans="1:25" ht="15">
      <c r="A29" s="43">
        <f>A27-1</f>
        <v>-18</v>
      </c>
      <c r="B29" s="44" t="s">
        <v>10</v>
      </c>
      <c r="F29" s="45">
        <v>116.31283269681002</v>
      </c>
      <c r="G29" s="45">
        <v>117.67832034507471</v>
      </c>
      <c r="H29" s="45">
        <v>110.17926402435131</v>
      </c>
      <c r="I29" s="45">
        <v>106.51139310949571</v>
      </c>
      <c r="J29" s="45">
        <v>119.88265555170189</v>
      </c>
      <c r="K29" s="45">
        <v>154.15247160274458</v>
      </c>
      <c r="L29" s="45">
        <v>172.88351152266762</v>
      </c>
      <c r="M29" s="45">
        <v>283.03796791880546</v>
      </c>
      <c r="N29" s="45">
        <v>316.94240591985135</v>
      </c>
      <c r="O29" s="45">
        <v>303.2769610733633</v>
      </c>
      <c r="P29" s="45">
        <v>413.7167054142463</v>
      </c>
      <c r="Q29" s="45">
        <v>611.0875861921104</v>
      </c>
      <c r="R29" s="45">
        <v>656.1052927023835</v>
      </c>
      <c r="S29" s="45">
        <v>899.2651781187374</v>
      </c>
      <c r="T29" s="45">
        <v>907.7800377149573</v>
      </c>
      <c r="U29" s="45">
        <v>646.0520681002796</v>
      </c>
      <c r="W29" s="22">
        <f>AVERAGE(F29:O29)</f>
        <v>180.08577837648662</v>
      </c>
      <c r="X29" s="23">
        <f>AVERAGE(P29:T29)</f>
        <v>697.590960028487</v>
      </c>
      <c r="Y29" s="24">
        <f>AVERAGE(F29:T29)</f>
        <v>352.5875055938201</v>
      </c>
    </row>
    <row r="30" spans="1:22" ht="15" customHeight="1">
      <c r="A30" s="43">
        <f>A29-1</f>
        <v>-19</v>
      </c>
      <c r="B30" s="150" t="str">
        <f>"Turnover extraction + change in home equity loans outstanding net of unscheduled payments + gross cash out [("&amp;-1*A39&amp;")+("&amp;-1*A70&amp;")+("&amp;-1*A119&amp;")-("&amp;-1*A26&amp;")]"</f>
        <v>Turnover extraction + change in home equity loans outstanding net of unscheduled payments + gross cash out [(24)+(46)+(82)-(16)]</v>
      </c>
      <c r="C30" s="151"/>
      <c r="D30" s="151"/>
      <c r="V30" s="13"/>
    </row>
    <row r="31" spans="1:25" ht="15">
      <c r="A31" s="43"/>
      <c r="B31" s="151"/>
      <c r="C31" s="151"/>
      <c r="D31" s="151"/>
      <c r="F31" s="45">
        <f aca="true" t="shared" si="11" ref="F31:T31">F39+F70+F119-F26</f>
        <v>161.40553856278268</v>
      </c>
      <c r="G31" s="45">
        <f t="shared" si="11"/>
        <v>133.20762771491104</v>
      </c>
      <c r="H31" s="45">
        <f t="shared" si="11"/>
        <v>117.3927348054822</v>
      </c>
      <c r="I31" s="45">
        <f t="shared" si="11"/>
        <v>137.84777326336925</v>
      </c>
      <c r="J31" s="45">
        <f t="shared" si="11"/>
        <v>103.07633975533707</v>
      </c>
      <c r="K31" s="45">
        <f t="shared" si="11"/>
        <v>177.40869258354982</v>
      </c>
      <c r="L31" s="45">
        <f t="shared" si="11"/>
        <v>176.26980808318504</v>
      </c>
      <c r="M31" s="45">
        <f t="shared" si="11"/>
        <v>232.75633637916553</v>
      </c>
      <c r="N31" s="45">
        <f t="shared" si="11"/>
        <v>320.51598817193076</v>
      </c>
      <c r="O31" s="45">
        <f t="shared" si="11"/>
        <v>377.60448252046314</v>
      </c>
      <c r="P31" s="45">
        <f t="shared" si="11"/>
        <v>442.4937954843887</v>
      </c>
      <c r="Q31" s="45">
        <f t="shared" si="11"/>
        <v>529.9288092062627</v>
      </c>
      <c r="R31" s="45">
        <f t="shared" si="11"/>
        <v>691.9870477878031</v>
      </c>
      <c r="S31" s="45">
        <f t="shared" si="11"/>
        <v>803.728091276957</v>
      </c>
      <c r="T31" s="45">
        <f t="shared" si="11"/>
        <v>971.9156499407864</v>
      </c>
      <c r="U31" s="45">
        <f>U39+U70+U119-U26</f>
        <v>769.5373322267318</v>
      </c>
      <c r="W31" s="22">
        <f>AVERAGE(F31:O31)</f>
        <v>193.74853218401765</v>
      </c>
      <c r="X31" s="23">
        <f>AVERAGE(P31:T31)</f>
        <v>688.0106787392396</v>
      </c>
      <c r="Y31" s="24">
        <f>AVERAGE(F31:T31)</f>
        <v>358.5025810357583</v>
      </c>
    </row>
    <row r="32" spans="1:25" ht="15">
      <c r="A32" s="43">
        <f>A30-1</f>
        <v>-20</v>
      </c>
      <c r="B32" s="44" t="str">
        <f>"    Repayments discrepancy [("&amp;-1*A30&amp;")-("&amp;-1*A29&amp;")]"</f>
        <v>    Repayments discrepancy [(19)-(18)]</v>
      </c>
      <c r="F32" s="45">
        <f aca="true" t="shared" si="12" ref="F32:U32">F31-F29</f>
        <v>45.09270586597266</v>
      </c>
      <c r="G32" s="45">
        <f t="shared" si="12"/>
        <v>15.529307369836332</v>
      </c>
      <c r="H32" s="45">
        <f t="shared" si="12"/>
        <v>7.213470781130894</v>
      </c>
      <c r="I32" s="45">
        <f t="shared" si="12"/>
        <v>31.336380153873534</v>
      </c>
      <c r="J32" s="45">
        <f t="shared" si="12"/>
        <v>-16.806315796364814</v>
      </c>
      <c r="K32" s="45">
        <f t="shared" si="12"/>
        <v>23.25622098080524</v>
      </c>
      <c r="L32" s="45">
        <f t="shared" si="12"/>
        <v>3.3862965605174224</v>
      </c>
      <c r="M32" s="45">
        <f t="shared" si="12"/>
        <v>-50.28163153963993</v>
      </c>
      <c r="N32" s="45">
        <f t="shared" si="12"/>
        <v>3.5735822520794045</v>
      </c>
      <c r="O32" s="45">
        <f t="shared" si="12"/>
        <v>74.32752144709985</v>
      </c>
      <c r="P32" s="45">
        <f t="shared" si="12"/>
        <v>28.777090070142435</v>
      </c>
      <c r="Q32" s="45">
        <f t="shared" si="12"/>
        <v>-81.15877698584768</v>
      </c>
      <c r="R32" s="45">
        <f t="shared" si="12"/>
        <v>35.88175508541963</v>
      </c>
      <c r="S32" s="45">
        <f t="shared" si="12"/>
        <v>-95.53708684178036</v>
      </c>
      <c r="T32" s="45">
        <f t="shared" si="12"/>
        <v>64.13561222582905</v>
      </c>
      <c r="U32" s="45">
        <f t="shared" si="12"/>
        <v>123.4852641264522</v>
      </c>
      <c r="W32" s="22">
        <f>AVERAGE(F32:O32)</f>
        <v>13.662753807531061</v>
      </c>
      <c r="X32" s="23">
        <f>AVERAGE(P32:T32)</f>
        <v>-9.580281289247386</v>
      </c>
      <c r="Y32" s="24">
        <f>AVERAGE(F32:T32)</f>
        <v>5.915075441938245</v>
      </c>
    </row>
    <row r="34" ht="15" customHeight="1"/>
    <row r="35" spans="1:24" ht="15" customHeight="1">
      <c r="A35" s="14"/>
      <c r="B35" s="47" t="s">
        <v>11</v>
      </c>
      <c r="C35" s="15"/>
      <c r="D35" s="15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48"/>
      <c r="P35" s="48"/>
      <c r="Q35" s="48"/>
      <c r="R35" s="48"/>
      <c r="S35" s="48"/>
      <c r="T35" s="21"/>
      <c r="U35" s="21"/>
      <c r="V35" s="21"/>
      <c r="W35" s="22"/>
      <c r="X35" s="22"/>
    </row>
    <row r="36" spans="1:25" ht="15" customHeight="1">
      <c r="A36" s="39">
        <f>A32-1</f>
        <v>-21</v>
      </c>
      <c r="B36" s="13" t="s">
        <v>70</v>
      </c>
      <c r="C36" s="15"/>
      <c r="D36" s="15"/>
      <c r="E36" s="21"/>
      <c r="F36" s="21">
        <v>425.64262900632224</v>
      </c>
      <c r="G36" s="21">
        <v>401.6249205283128</v>
      </c>
      <c r="H36" s="21">
        <v>408.2969570903244</v>
      </c>
      <c r="I36" s="21">
        <v>449.0078924112267</v>
      </c>
      <c r="J36" s="21">
        <v>419.30381087296104</v>
      </c>
      <c r="K36" s="21">
        <v>521.3219997824316</v>
      </c>
      <c r="L36" s="21">
        <v>533.8758842352707</v>
      </c>
      <c r="M36" s="21">
        <v>655.5670061205383</v>
      </c>
      <c r="N36" s="21">
        <v>799.9509672905887</v>
      </c>
      <c r="O36" s="21">
        <v>875.2216050812305</v>
      </c>
      <c r="P36" s="21">
        <v>946.7932436614259</v>
      </c>
      <c r="Q36" s="21">
        <v>1100.5988622901561</v>
      </c>
      <c r="R36" s="21">
        <v>1376.9099422886088</v>
      </c>
      <c r="S36" s="21">
        <v>1572.1928931795192</v>
      </c>
      <c r="T36" s="21">
        <v>1915.6104380135184</v>
      </c>
      <c r="U36" s="21">
        <v>1654.2205308097482</v>
      </c>
      <c r="V36" s="21"/>
      <c r="W36" s="22">
        <f aca="true" t="shared" si="13" ref="W36:W43">AVERAGE(F36:O36)</f>
        <v>548.9813672419207</v>
      </c>
      <c r="X36" s="23">
        <f aca="true" t="shared" si="14" ref="X36:X43">AVERAGE(P36:T36)</f>
        <v>1382.4210758866457</v>
      </c>
      <c r="Y36" s="24">
        <f aca="true" t="shared" si="15" ref="Y36:Y43">AVERAGE(F36:T36)</f>
        <v>826.794603456829</v>
      </c>
    </row>
    <row r="37" spans="1:25" ht="15" customHeight="1">
      <c r="A37" s="43">
        <f aca="true" t="shared" si="16" ref="A37:A43">A36-1</f>
        <v>-22</v>
      </c>
      <c r="B37" s="13" t="str">
        <f>"   Existing home extensions"</f>
        <v>   Existing home extensions</v>
      </c>
      <c r="D37" s="15"/>
      <c r="E37" s="21"/>
      <c r="F37" s="21">
        <v>282.7634425413919</v>
      </c>
      <c r="G37" s="21">
        <v>272.53972025417204</v>
      </c>
      <c r="H37" s="21">
        <v>281.8381622749675</v>
      </c>
      <c r="I37" s="21">
        <v>320.60431594121684</v>
      </c>
      <c r="J37" s="21">
        <v>300.7049293413088</v>
      </c>
      <c r="K37" s="21">
        <v>373.9313454598528</v>
      </c>
      <c r="L37" s="21">
        <v>384.47811085126636</v>
      </c>
      <c r="M37" s="21">
        <v>472.03267095987064</v>
      </c>
      <c r="N37" s="21">
        <v>579.5263793822223</v>
      </c>
      <c r="O37" s="21">
        <v>625.7882283795559</v>
      </c>
      <c r="P37" s="21">
        <v>666.3479988901865</v>
      </c>
      <c r="Q37" s="21">
        <v>757.767566013662</v>
      </c>
      <c r="R37" s="21">
        <v>916.306496687892</v>
      </c>
      <c r="S37" s="21">
        <v>1066.0580718596525</v>
      </c>
      <c r="T37" s="21">
        <v>1295.1722161379457</v>
      </c>
      <c r="U37" s="21">
        <v>1150.5653159811484</v>
      </c>
      <c r="V37" s="21"/>
      <c r="W37" s="22">
        <f t="shared" si="13"/>
        <v>389.42073053858246</v>
      </c>
      <c r="X37" s="23">
        <f t="shared" si="14"/>
        <v>940.3304699178677</v>
      </c>
      <c r="Y37" s="24">
        <f t="shared" si="15"/>
        <v>573.0573103316776</v>
      </c>
    </row>
    <row r="38" spans="1:25" ht="15" customHeight="1">
      <c r="A38" s="43">
        <f t="shared" si="16"/>
        <v>-23</v>
      </c>
      <c r="B38" s="13" t="s">
        <v>12</v>
      </c>
      <c r="D38" s="15"/>
      <c r="E38" s="21"/>
      <c r="F38" s="21">
        <v>158.97355700422762</v>
      </c>
      <c r="G38" s="21">
        <v>183.90999053722305</v>
      </c>
      <c r="H38" s="21">
        <v>210.38639553740606</v>
      </c>
      <c r="I38" s="21">
        <v>229.37791269589445</v>
      </c>
      <c r="J38" s="21">
        <v>234.63523670934038</v>
      </c>
      <c r="K38" s="21">
        <v>262.0195681325119</v>
      </c>
      <c r="L38" s="21">
        <v>286.5777436482846</v>
      </c>
      <c r="M38" s="21">
        <v>337.3679550597807</v>
      </c>
      <c r="N38" s="21">
        <v>372.2448914309598</v>
      </c>
      <c r="O38" s="21">
        <v>397.30002588058807</v>
      </c>
      <c r="P38" s="21">
        <v>438.4050105343921</v>
      </c>
      <c r="Q38" s="21">
        <v>501.84387001802384</v>
      </c>
      <c r="R38" s="21">
        <v>592.7613654790423</v>
      </c>
      <c r="S38" s="21">
        <v>707.3333464703496</v>
      </c>
      <c r="T38" s="21">
        <v>799.6925039250002</v>
      </c>
      <c r="U38" s="21">
        <v>779.5449371910663</v>
      </c>
      <c r="V38" s="21"/>
      <c r="W38" s="22">
        <f t="shared" si="13"/>
        <v>267.2793276636217</v>
      </c>
      <c r="X38" s="23">
        <f t="shared" si="14"/>
        <v>608.0072192853617</v>
      </c>
      <c r="Y38" s="24">
        <f t="shared" si="15"/>
        <v>380.855291537535</v>
      </c>
    </row>
    <row r="39" spans="1:25" ht="15" customHeight="1">
      <c r="A39" s="14">
        <f t="shared" si="16"/>
        <v>-24</v>
      </c>
      <c r="B39" s="20" t="str">
        <f>"Turnover Extraction [("&amp;-1*A37&amp;")-("&amp;-1*A38&amp;")]"</f>
        <v>Turnover Extraction [(22)-(23)]</v>
      </c>
      <c r="C39" s="15"/>
      <c r="D39" s="17"/>
      <c r="E39" s="21"/>
      <c r="F39" s="21">
        <v>123.78988553716428</v>
      </c>
      <c r="G39" s="21">
        <v>88.62972971694899</v>
      </c>
      <c r="H39" s="21">
        <v>71.45176673756143</v>
      </c>
      <c r="I39" s="21">
        <v>91.22640324532239</v>
      </c>
      <c r="J39" s="21">
        <v>66.06969263196842</v>
      </c>
      <c r="K39" s="21">
        <v>111.91177732734093</v>
      </c>
      <c r="L39" s="21">
        <v>97.90036720298178</v>
      </c>
      <c r="M39" s="21">
        <v>134.66471590008996</v>
      </c>
      <c r="N39" s="21">
        <v>207.28148795126253</v>
      </c>
      <c r="O39" s="21">
        <v>228.48820249896784</v>
      </c>
      <c r="P39" s="21">
        <v>227.94298835579445</v>
      </c>
      <c r="Q39" s="21">
        <v>255.92369599563813</v>
      </c>
      <c r="R39" s="21">
        <v>323.54513120884974</v>
      </c>
      <c r="S39" s="21">
        <v>358.7247253893029</v>
      </c>
      <c r="T39" s="21">
        <v>495.4797122129455</v>
      </c>
      <c r="U39" s="21">
        <v>371.0203787900821</v>
      </c>
      <c r="V39" s="21"/>
      <c r="W39" s="22">
        <f t="shared" si="13"/>
        <v>122.14140287496086</v>
      </c>
      <c r="X39" s="23">
        <f t="shared" si="14"/>
        <v>332.32325063250613</v>
      </c>
      <c r="Y39" s="24">
        <f t="shared" si="15"/>
        <v>192.2020187941426</v>
      </c>
    </row>
    <row r="40" spans="1:25" s="32" customFormat="1" ht="15" customHeight="1">
      <c r="A40" s="14">
        <f t="shared" si="16"/>
        <v>-25</v>
      </c>
      <c r="B40" s="20" t="s">
        <v>13</v>
      </c>
      <c r="C40" s="15"/>
      <c r="D40" s="17"/>
      <c r="E40" s="16"/>
      <c r="F40" s="21">
        <v>142.87918646493029</v>
      </c>
      <c r="G40" s="21">
        <v>129.0852002741408</v>
      </c>
      <c r="H40" s="21">
        <v>126.4587948153569</v>
      </c>
      <c r="I40" s="21">
        <v>128.40357647000988</v>
      </c>
      <c r="J40" s="21">
        <v>118.59888153165228</v>
      </c>
      <c r="K40" s="21">
        <v>147.39065432257877</v>
      </c>
      <c r="L40" s="21">
        <v>149.39777338400438</v>
      </c>
      <c r="M40" s="21">
        <v>183.5343351606677</v>
      </c>
      <c r="N40" s="21">
        <v>220.42458790836622</v>
      </c>
      <c r="O40" s="21">
        <v>249.43337670167472</v>
      </c>
      <c r="P40" s="21">
        <v>280.44524477123935</v>
      </c>
      <c r="Q40" s="21">
        <v>342.83129627649413</v>
      </c>
      <c r="R40" s="21">
        <v>460.6034456007166</v>
      </c>
      <c r="S40" s="21">
        <v>506.1348213198668</v>
      </c>
      <c r="T40" s="21">
        <v>620.4382218755728</v>
      </c>
      <c r="U40" s="21">
        <v>503.6552148285998</v>
      </c>
      <c r="V40" s="21"/>
      <c r="W40" s="22">
        <f t="shared" si="13"/>
        <v>159.56063670333816</v>
      </c>
      <c r="X40" s="23">
        <f t="shared" si="14"/>
        <v>442.0906059687779</v>
      </c>
      <c r="Y40" s="24">
        <f t="shared" si="15"/>
        <v>253.7372931251514</v>
      </c>
    </row>
    <row r="41" spans="1:25" s="32" customFormat="1" ht="15" customHeight="1">
      <c r="A41" s="14">
        <f t="shared" si="16"/>
        <v>-26</v>
      </c>
      <c r="B41" s="20" t="str">
        <f>"    - Total closing costs paid in cash [("&amp;-1*A60&amp;")]"</f>
        <v>    - Total closing costs paid in cash [(41)]</v>
      </c>
      <c r="C41" s="15"/>
      <c r="D41" s="17"/>
      <c r="E41" s="16"/>
      <c r="F41" s="21">
        <v>34.91096257164736</v>
      </c>
      <c r="G41" s="21">
        <v>33.01776237557492</v>
      </c>
      <c r="H41" s="21">
        <v>32.596534976532055</v>
      </c>
      <c r="I41" s="21">
        <v>35.639370803819915</v>
      </c>
      <c r="J41" s="21">
        <v>32.8597734952707</v>
      </c>
      <c r="K41" s="21">
        <v>40.89195790582268</v>
      </c>
      <c r="L41" s="21">
        <v>41.94587648974257</v>
      </c>
      <c r="M41" s="21">
        <v>50.89557576689387</v>
      </c>
      <c r="N41" s="21">
        <v>61.44272943723847</v>
      </c>
      <c r="O41" s="21">
        <v>66.74878324230926</v>
      </c>
      <c r="P41" s="21">
        <v>71.21318422834923</v>
      </c>
      <c r="Q41" s="21">
        <v>82.21815424158883</v>
      </c>
      <c r="R41" s="21">
        <v>101.96022335989454</v>
      </c>
      <c r="S41" s="21">
        <v>116.69987905433764</v>
      </c>
      <c r="T41" s="21">
        <v>141.8675580368758</v>
      </c>
      <c r="U41" s="21">
        <v>122.94748872873686</v>
      </c>
      <c r="V41" s="21"/>
      <c r="W41" s="22">
        <f t="shared" si="13"/>
        <v>43.09493270648518</v>
      </c>
      <c r="X41" s="23">
        <f t="shared" si="14"/>
        <v>102.7917997842092</v>
      </c>
      <c r="Y41" s="24">
        <f t="shared" si="15"/>
        <v>62.99388839905986</v>
      </c>
    </row>
    <row r="42" spans="1:25" ht="15" customHeight="1">
      <c r="A42" s="14">
        <f t="shared" si="16"/>
        <v>-27</v>
      </c>
      <c r="B42" s="33" t="str">
        <f>"    - Home equity loans paid off at time of sale"</f>
        <v>    - Home equity loans paid off at time of sale</v>
      </c>
      <c r="C42" s="15"/>
      <c r="D42" s="49"/>
      <c r="E42" s="21"/>
      <c r="F42" s="21">
        <v>8.668551757004188</v>
      </c>
      <c r="G42" s="21">
        <v>9.300761750928636</v>
      </c>
      <c r="H42" s="21">
        <v>9.78935818269917</v>
      </c>
      <c r="I42" s="21">
        <v>10.153085515273457</v>
      </c>
      <c r="J42" s="21">
        <v>10.750521395695946</v>
      </c>
      <c r="K42" s="21">
        <v>12.362749926018173</v>
      </c>
      <c r="L42" s="21">
        <v>14.564050504272695</v>
      </c>
      <c r="M42" s="21">
        <v>17.44579005018382</v>
      </c>
      <c r="N42" s="21">
        <v>19.009686569731816</v>
      </c>
      <c r="O42" s="21">
        <v>22.14290945826412</v>
      </c>
      <c r="P42" s="21">
        <v>25.606494767187574</v>
      </c>
      <c r="Q42" s="21">
        <v>29.85909331710892</v>
      </c>
      <c r="R42" s="21">
        <v>37.047240396333216</v>
      </c>
      <c r="S42" s="21">
        <v>51.090800382569626</v>
      </c>
      <c r="T42" s="21">
        <v>64.53835046146027</v>
      </c>
      <c r="U42" s="21">
        <v>66.30949269565971</v>
      </c>
      <c r="V42" s="21"/>
      <c r="W42" s="22">
        <f t="shared" si="13"/>
        <v>13.418746511007203</v>
      </c>
      <c r="X42" s="23">
        <f t="shared" si="14"/>
        <v>41.62839586493192</v>
      </c>
      <c r="Y42" s="24">
        <f t="shared" si="15"/>
        <v>22.821962962315443</v>
      </c>
    </row>
    <row r="43" spans="1:25" s="32" customFormat="1" ht="15" customHeight="1">
      <c r="A43" s="25">
        <f t="shared" si="16"/>
        <v>-28</v>
      </c>
      <c r="B43" s="47" t="s">
        <v>14</v>
      </c>
      <c r="C43" s="27"/>
      <c r="D43" s="50"/>
      <c r="E43" s="51"/>
      <c r="F43" s="52">
        <f aca="true" t="shared" si="17" ref="F43:U43">F39+F40-F41-F42</f>
        <v>223.08955767344304</v>
      </c>
      <c r="G43" s="52">
        <f t="shared" si="17"/>
        <v>175.3964058645862</v>
      </c>
      <c r="H43" s="52">
        <f t="shared" si="17"/>
        <v>155.52466839368708</v>
      </c>
      <c r="I43" s="52">
        <f t="shared" si="17"/>
        <v>173.8375233962389</v>
      </c>
      <c r="J43" s="52">
        <f t="shared" si="17"/>
        <v>141.05827927265403</v>
      </c>
      <c r="K43" s="52">
        <f t="shared" si="17"/>
        <v>206.04772381807885</v>
      </c>
      <c r="L43" s="52">
        <f t="shared" si="17"/>
        <v>190.7882135929709</v>
      </c>
      <c r="M43" s="52">
        <f t="shared" si="17"/>
        <v>249.85768524367998</v>
      </c>
      <c r="N43" s="52">
        <f t="shared" si="17"/>
        <v>347.2536598526585</v>
      </c>
      <c r="O43" s="52">
        <f t="shared" si="17"/>
        <v>389.02988650006915</v>
      </c>
      <c r="P43" s="52">
        <f t="shared" si="17"/>
        <v>411.56855413149697</v>
      </c>
      <c r="Q43" s="52">
        <f t="shared" si="17"/>
        <v>486.6777447134345</v>
      </c>
      <c r="R43" s="52">
        <f t="shared" si="17"/>
        <v>645.1411130533385</v>
      </c>
      <c r="S43" s="52">
        <f t="shared" si="17"/>
        <v>697.0688672722624</v>
      </c>
      <c r="T43" s="52">
        <f t="shared" si="17"/>
        <v>909.5120255901824</v>
      </c>
      <c r="U43" s="52">
        <f t="shared" si="17"/>
        <v>685.4186121942853</v>
      </c>
      <c r="V43" s="28"/>
      <c r="W43" s="29">
        <f t="shared" si="13"/>
        <v>225.18836036080666</v>
      </c>
      <c r="X43" s="30">
        <f t="shared" si="14"/>
        <v>629.9936609521429</v>
      </c>
      <c r="Y43" s="31">
        <f t="shared" si="15"/>
        <v>360.1234605579187</v>
      </c>
    </row>
    <row r="44" spans="1:25" s="32" customFormat="1" ht="15" customHeight="1">
      <c r="A44" s="14"/>
      <c r="B44" s="20" t="s">
        <v>15</v>
      </c>
      <c r="C44" s="15"/>
      <c r="D44" s="17"/>
      <c r="E44" s="16"/>
      <c r="F44" s="4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2"/>
      <c r="X44" s="23"/>
      <c r="Y44" s="24"/>
    </row>
    <row r="45" spans="1:25" s="32" customFormat="1" ht="15" customHeight="1">
      <c r="A45" s="14">
        <f>A43-1</f>
        <v>-29</v>
      </c>
      <c r="B45" s="13" t="str">
        <f>"        Home purchase (repeat buyers &amp; investors; new &amp; existing)"</f>
        <v>        Home purchase (repeat buyers &amp; investors; new &amp; existing)</v>
      </c>
      <c r="C45" s="15"/>
      <c r="D45" s="17"/>
      <c r="E45" s="16"/>
      <c r="F45" s="21">
        <v>114.75841416106275</v>
      </c>
      <c r="G45" s="21">
        <v>90.82702772370891</v>
      </c>
      <c r="H45" s="21">
        <v>81.21258813197699</v>
      </c>
      <c r="I45" s="21">
        <v>91.12427521490181</v>
      </c>
      <c r="J45" s="21">
        <v>74.25526572615966</v>
      </c>
      <c r="K45" s="21">
        <v>108.57957465343429</v>
      </c>
      <c r="L45" s="21">
        <v>101.08882997923374</v>
      </c>
      <c r="M45" s="21">
        <v>132.27473439771174</v>
      </c>
      <c r="N45" s="21">
        <v>184.79387122670747</v>
      </c>
      <c r="O45" s="21">
        <v>210.95216550715932</v>
      </c>
      <c r="P45" s="21">
        <v>227.03359525078264</v>
      </c>
      <c r="Q45" s="21">
        <v>274.1897067620258</v>
      </c>
      <c r="R45" s="21">
        <v>365.89080541689503</v>
      </c>
      <c r="S45" s="21">
        <v>407.52176527608736</v>
      </c>
      <c r="T45" s="21">
        <v>533.3207079878061</v>
      </c>
      <c r="U45" s="21">
        <v>401.9165544141891</v>
      </c>
      <c r="V45" s="21"/>
      <c r="W45" s="22">
        <f>AVERAGE(F45:O45)</f>
        <v>118.98667467220567</v>
      </c>
      <c r="X45" s="23">
        <f>AVERAGE(P45:T45)</f>
        <v>361.59131613871944</v>
      </c>
      <c r="Y45" s="24">
        <f>AVERAGE(F45:T45)</f>
        <v>199.85488849437692</v>
      </c>
    </row>
    <row r="46" spans="1:25" ht="15" customHeight="1">
      <c r="A46" s="14">
        <f>A45-1</f>
        <v>-30</v>
      </c>
      <c r="B46" s="33" t="str">
        <f>"        Repayment of non-mortgage debt "</f>
        <v>        Repayment of non-mortgage debt </v>
      </c>
      <c r="C46" s="15"/>
      <c r="D46" s="49"/>
      <c r="E46" s="21"/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/>
      <c r="W46" s="22">
        <f>AVERAGE(F46:O46)</f>
        <v>0</v>
      </c>
      <c r="X46" s="23">
        <f>AVERAGE(P46:T46)</f>
        <v>0</v>
      </c>
      <c r="Y46" s="24">
        <f>AVERAGE(F46:T46)</f>
        <v>0</v>
      </c>
    </row>
    <row r="47" spans="1:25" ht="15" customHeight="1">
      <c r="A47" s="14">
        <f>A46-1</f>
        <v>-31</v>
      </c>
      <c r="B47" s="33" t="str">
        <f>"        PCE"</f>
        <v>        PCE</v>
      </c>
      <c r="C47" s="15"/>
      <c r="D47" s="53"/>
      <c r="E47" s="21"/>
      <c r="F47" s="21">
        <v>17.634686870180218</v>
      </c>
      <c r="G47" s="21">
        <v>13.781594986762567</v>
      </c>
      <c r="H47" s="21">
        <v>12.126963964987272</v>
      </c>
      <c r="I47" s="21">
        <v>13.506762962552822</v>
      </c>
      <c r="J47" s="21">
        <v>10.916636273496769</v>
      </c>
      <c r="K47" s="21">
        <v>15.930665517065721</v>
      </c>
      <c r="L47" s="21">
        <v>14.674945145258215</v>
      </c>
      <c r="M47" s="21">
        <v>19.233861835143475</v>
      </c>
      <c r="N47" s="21">
        <v>26.599239153525332</v>
      </c>
      <c r="O47" s="21">
        <v>29.257632560229766</v>
      </c>
      <c r="P47" s="21">
        <v>30.420304464444204</v>
      </c>
      <c r="Q47" s="21">
        <v>35.18239180880474</v>
      </c>
      <c r="R47" s="21">
        <v>46.303469659118726</v>
      </c>
      <c r="S47" s="21">
        <v>48.350431432068675</v>
      </c>
      <c r="T47" s="21">
        <v>62.865326874692</v>
      </c>
      <c r="U47" s="21">
        <v>47.37602570304776</v>
      </c>
      <c r="V47" s="21"/>
      <c r="W47" s="22">
        <f>AVERAGE(F47:O47)</f>
        <v>17.366298926920216</v>
      </c>
      <c r="X47" s="23">
        <f>AVERAGE(P47:T47)</f>
        <v>44.624384847825674</v>
      </c>
      <c r="Y47" s="24">
        <f>AVERAGE(F47:T47)</f>
        <v>26.452327567222035</v>
      </c>
    </row>
    <row r="48" spans="1:25" ht="15" customHeight="1">
      <c r="A48" s="14">
        <f>A47-1</f>
        <v>-32</v>
      </c>
      <c r="B48" s="33" t="str">
        <f>"        Investments (excluding homes)"</f>
        <v>        Investments (excluding homes)</v>
      </c>
      <c r="C48" s="15"/>
      <c r="D48" s="49"/>
      <c r="E48" s="21"/>
      <c r="F48" s="21">
        <v>90.6964566422001</v>
      </c>
      <c r="G48" s="21">
        <v>70.78778315411475</v>
      </c>
      <c r="H48" s="21">
        <v>62.18511629672284</v>
      </c>
      <c r="I48" s="21">
        <v>69.20648521878424</v>
      </c>
      <c r="J48" s="21">
        <v>55.886377272997585</v>
      </c>
      <c r="K48" s="21">
        <v>81.53748364757887</v>
      </c>
      <c r="L48" s="21">
        <v>75.0244384684789</v>
      </c>
      <c r="M48" s="21">
        <v>98.34908901082471</v>
      </c>
      <c r="N48" s="21">
        <v>135.8605494724257</v>
      </c>
      <c r="O48" s="21">
        <v>148.82008843268</v>
      </c>
      <c r="P48" s="21">
        <v>154.1146544162703</v>
      </c>
      <c r="Q48" s="21">
        <v>177.30564614260408</v>
      </c>
      <c r="R48" s="21">
        <v>232.94683797732492</v>
      </c>
      <c r="S48" s="21">
        <v>241.19667056410628</v>
      </c>
      <c r="T48" s="21">
        <v>313.3259907276841</v>
      </c>
      <c r="U48" s="21">
        <v>236.12603207704854</v>
      </c>
      <c r="V48" s="21"/>
      <c r="W48" s="22">
        <f>AVERAGE(F48:O48)</f>
        <v>88.83538676168078</v>
      </c>
      <c r="X48" s="23">
        <f>AVERAGE(P48:T48)</f>
        <v>223.77795996559794</v>
      </c>
      <c r="Y48" s="24">
        <f>AVERAGE(F48:T48)</f>
        <v>133.81624449631983</v>
      </c>
    </row>
    <row r="49" spans="1:25" s="32" customFormat="1" ht="15" customHeight="1">
      <c r="A49" s="25"/>
      <c r="B49" s="26"/>
      <c r="C49" s="27"/>
      <c r="D49" s="54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9"/>
      <c r="X49" s="30"/>
      <c r="Y49" s="31"/>
    </row>
    <row r="50" spans="1:25" ht="15" customHeight="1">
      <c r="A50" s="14"/>
      <c r="B50" s="13" t="s">
        <v>7</v>
      </c>
      <c r="C50" s="15"/>
      <c r="D50" s="49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2"/>
      <c r="X50" s="23"/>
      <c r="Y50" s="24"/>
    </row>
    <row r="51" spans="1:25" ht="15" customHeight="1">
      <c r="A51" s="14">
        <f>A48-1</f>
        <v>-33</v>
      </c>
      <c r="B51" s="33" t="str">
        <f>"PCE plus repayment of non-mortgage debt [("&amp;-1*A46&amp;")+("&amp;-1*A47&amp;")]"</f>
        <v>PCE plus repayment of non-mortgage debt [(30)+(31)]</v>
      </c>
      <c r="C51" s="15"/>
      <c r="D51" s="49"/>
      <c r="E51" s="21"/>
      <c r="F51" s="21">
        <v>17.634686870180218</v>
      </c>
      <c r="G51" s="21">
        <v>13.781594986762567</v>
      </c>
      <c r="H51" s="21">
        <v>12.126963964987272</v>
      </c>
      <c r="I51" s="21">
        <v>13.506762962552822</v>
      </c>
      <c r="J51" s="21">
        <v>10.916636273496769</v>
      </c>
      <c r="K51" s="21">
        <v>15.930665517065721</v>
      </c>
      <c r="L51" s="21">
        <v>14.674945145258215</v>
      </c>
      <c r="M51" s="21">
        <v>19.233861835143475</v>
      </c>
      <c r="N51" s="21">
        <v>26.599239153525332</v>
      </c>
      <c r="O51" s="21">
        <v>29.257632560229766</v>
      </c>
      <c r="P51" s="21">
        <v>30.420304464444204</v>
      </c>
      <c r="Q51" s="21">
        <v>35.18239180880474</v>
      </c>
      <c r="R51" s="21">
        <v>46.303469659118726</v>
      </c>
      <c r="S51" s="21">
        <v>48.350431432068675</v>
      </c>
      <c r="T51" s="21">
        <v>62.865326874692</v>
      </c>
      <c r="U51" s="21">
        <v>47.37602570304776</v>
      </c>
      <c r="V51" s="21"/>
      <c r="W51" s="22">
        <f>AVERAGE(F51:O51)</f>
        <v>17.366298926920216</v>
      </c>
      <c r="X51" s="23">
        <f>AVERAGE(P51:T51)</f>
        <v>44.624384847825674</v>
      </c>
      <c r="Y51" s="24">
        <f>AVERAGE(F51:T51)</f>
        <v>26.452327567222035</v>
      </c>
    </row>
    <row r="52" spans="1:25" ht="15" customHeight="1">
      <c r="A52" s="39">
        <f>A51-1</f>
        <v>-34</v>
      </c>
      <c r="B52" s="13" t="str">
        <f>"   Closing costs paid in cash, ex. commissions [("&amp;D57&amp;")*("&amp;-1*A36&amp;")]"</f>
        <v>   Closing costs paid in cash, ex. commissions [(0.0165)*(21)]</v>
      </c>
      <c r="E52" s="24"/>
      <c r="F52" s="21">
        <v>7.023103378604317</v>
      </c>
      <c r="G52" s="21">
        <v>6.626811188717162</v>
      </c>
      <c r="H52" s="21">
        <v>6.736899791990352</v>
      </c>
      <c r="I52" s="21">
        <v>7.408630224785241</v>
      </c>
      <c r="J52" s="21">
        <v>6.918512879403858</v>
      </c>
      <c r="K52" s="21">
        <v>8.601812996410121</v>
      </c>
      <c r="L52" s="21">
        <v>8.808952089881966</v>
      </c>
      <c r="M52" s="21">
        <v>10.816855600988884</v>
      </c>
      <c r="N52" s="21">
        <v>13.199190960294711</v>
      </c>
      <c r="O52" s="21">
        <v>14.441156483840306</v>
      </c>
      <c r="P52" s="21">
        <v>15.622088520413527</v>
      </c>
      <c r="Q52" s="21">
        <v>18.15988122778758</v>
      </c>
      <c r="R52" s="21">
        <v>22.719014047762045</v>
      </c>
      <c r="S52" s="21">
        <v>25.941182737462068</v>
      </c>
      <c r="T52" s="21">
        <v>31.60757222722306</v>
      </c>
      <c r="U52" s="21">
        <v>27.294638758360847</v>
      </c>
      <c r="V52" s="21"/>
      <c r="W52" s="22">
        <f>AVERAGE(F52:O52)</f>
        <v>9.058192559491692</v>
      </c>
      <c r="X52" s="23">
        <f>AVERAGE(P52:T52)</f>
        <v>22.809947752129656</v>
      </c>
      <c r="Y52" s="24">
        <f>AVERAGE(F52:T52)</f>
        <v>13.64211095703768</v>
      </c>
    </row>
    <row r="53" spans="1:25" ht="15" customHeight="1">
      <c r="A53" s="39">
        <f>A52-1</f>
        <v>-35</v>
      </c>
      <c r="B53" s="13" t="str">
        <f>"   Commissions on existing sales [("&amp;D56&amp;")*("&amp;-1*A36&amp;")]"</f>
        <v>   Commissions on existing sales [(0.055)*(21)]</v>
      </c>
      <c r="D53" s="55"/>
      <c r="E53" s="24"/>
      <c r="F53" s="21">
        <v>23.410344595347723</v>
      </c>
      <c r="G53" s="21">
        <v>22.089370629057207</v>
      </c>
      <c r="H53" s="21">
        <v>22.456332639967844</v>
      </c>
      <c r="I53" s="21">
        <v>24.695434082617474</v>
      </c>
      <c r="J53" s="21">
        <v>23.061709598012857</v>
      </c>
      <c r="K53" s="21">
        <v>28.67270998803374</v>
      </c>
      <c r="L53" s="21">
        <v>29.36317363293989</v>
      </c>
      <c r="M53" s="21">
        <v>36.05618533662961</v>
      </c>
      <c r="N53" s="21">
        <v>43.99730320098237</v>
      </c>
      <c r="O53" s="21">
        <v>48.13718827946768</v>
      </c>
      <c r="P53" s="21">
        <v>52.07362840137842</v>
      </c>
      <c r="Q53" s="21">
        <v>60.53293742595859</v>
      </c>
      <c r="R53" s="21">
        <v>75.73004682587347</v>
      </c>
      <c r="S53" s="21">
        <v>86.47060912487356</v>
      </c>
      <c r="T53" s="21">
        <v>105.35857409074353</v>
      </c>
      <c r="U53" s="21">
        <v>90.98212919453616</v>
      </c>
      <c r="V53" s="21"/>
      <c r="W53" s="22">
        <f>AVERAGE(F53:O53)</f>
        <v>30.19397519830564</v>
      </c>
      <c r="X53" s="23">
        <f>AVERAGE(P53:T53)</f>
        <v>76.03315917376551</v>
      </c>
      <c r="Y53" s="24">
        <f>AVERAGE(F53:T53)</f>
        <v>45.4737031901256</v>
      </c>
    </row>
    <row r="54" spans="1:25" ht="15" customHeight="1">
      <c r="A54" s="39">
        <f>A53-1</f>
        <v>-36</v>
      </c>
      <c r="B54" s="13" t="str">
        <f>"Total closing costs paid in cash to purch. existing homes [("&amp;-1*A52&amp;")+("&amp;-1*A53&amp;")]"</f>
        <v>Total closing costs paid in cash to purch. existing homes [(34)+(35)]</v>
      </c>
      <c r="C54" s="33"/>
      <c r="D54" s="56"/>
      <c r="F54" s="21">
        <v>30.43344797395204</v>
      </c>
      <c r="G54" s="21">
        <v>28.716181817774366</v>
      </c>
      <c r="H54" s="21">
        <v>29.193232431958194</v>
      </c>
      <c r="I54" s="21">
        <v>32.10406430740271</v>
      </c>
      <c r="J54" s="21">
        <v>29.980222477416717</v>
      </c>
      <c r="K54" s="21">
        <v>37.27452298444386</v>
      </c>
      <c r="L54" s="21">
        <v>38.17212572282185</v>
      </c>
      <c r="M54" s="21">
        <v>46.8730409376185</v>
      </c>
      <c r="N54" s="21">
        <v>57.19649416127709</v>
      </c>
      <c r="O54" s="21">
        <v>62.57834476330799</v>
      </c>
      <c r="P54" s="21">
        <v>67.69571692179196</v>
      </c>
      <c r="Q54" s="21">
        <v>78.69281865374617</v>
      </c>
      <c r="R54" s="21">
        <v>98.44906087363553</v>
      </c>
      <c r="S54" s="21">
        <v>112.41179186233562</v>
      </c>
      <c r="T54" s="21">
        <v>136.96614631796658</v>
      </c>
      <c r="U54" s="21">
        <v>118.276767952897</v>
      </c>
      <c r="V54" s="21"/>
      <c r="W54" s="22">
        <f>AVERAGE(F54:O54)</f>
        <v>39.252167757797324</v>
      </c>
      <c r="X54" s="23">
        <f>AVERAGE(P54:T54)</f>
        <v>98.84310692589517</v>
      </c>
      <c r="Y54" s="24">
        <f>AVERAGE(F54:T54)</f>
        <v>59.11581414716327</v>
      </c>
    </row>
    <row r="55" spans="1:25" ht="15" customHeight="1">
      <c r="A55" s="39"/>
      <c r="B55" s="13" t="s">
        <v>16</v>
      </c>
      <c r="C55" s="33"/>
      <c r="D55" s="56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21"/>
      <c r="W55" s="22"/>
      <c r="X55" s="23"/>
      <c r="Y55" s="24"/>
    </row>
    <row r="56" spans="1:25" ht="15" customHeight="1">
      <c r="A56" s="39">
        <f>A54-1</f>
        <v>-37</v>
      </c>
      <c r="B56" s="13" t="s">
        <v>17</v>
      </c>
      <c r="C56" s="33"/>
      <c r="D56" s="58">
        <v>0.055</v>
      </c>
      <c r="E56" s="38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2"/>
      <c r="X56" s="23"/>
      <c r="Y56" s="24"/>
    </row>
    <row r="57" spans="1:25" ht="15" customHeight="1">
      <c r="A57" s="39">
        <f aca="true" t="shared" si="18" ref="A57:A63">A56-1</f>
        <v>-38</v>
      </c>
      <c r="B57" t="str">
        <f>"   Other closing costs paid in cash / home price"</f>
        <v>   Other closing costs paid in cash / home price</v>
      </c>
      <c r="C57" s="33"/>
      <c r="D57" s="58">
        <v>0.0165</v>
      </c>
      <c r="E57" s="38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2"/>
      <c r="X57" s="23"/>
      <c r="Y57" s="24"/>
    </row>
    <row r="58" spans="1:25" ht="15" customHeight="1">
      <c r="A58" s="39">
        <f t="shared" si="18"/>
        <v>-39</v>
      </c>
      <c r="B58" s="33" t="s">
        <v>18</v>
      </c>
      <c r="E58" s="38"/>
      <c r="F58" s="34">
        <v>0.015725000000000003</v>
      </c>
      <c r="G58" s="34">
        <v>0.0157</v>
      </c>
      <c r="H58" s="34">
        <v>0.012241666666666668</v>
      </c>
      <c r="I58" s="34">
        <v>0.011008333333333335</v>
      </c>
      <c r="J58" s="34">
        <v>0.009658333333333333</v>
      </c>
      <c r="K58" s="34">
        <v>0.009608333333333335</v>
      </c>
      <c r="L58" s="34">
        <v>0.009783333333333333</v>
      </c>
      <c r="M58" s="34">
        <v>0.008533333333333334</v>
      </c>
      <c r="N58" s="34">
        <v>0.007325</v>
      </c>
      <c r="O58" s="34">
        <v>0.0066749999999999995</v>
      </c>
      <c r="P58" s="34">
        <v>0.005291666666666667</v>
      </c>
      <c r="Q58" s="34">
        <v>0.004641666666666667</v>
      </c>
      <c r="R58" s="34">
        <v>0.0037833333333333334</v>
      </c>
      <c r="S58" s="34">
        <v>0.0040416666666666665</v>
      </c>
      <c r="T58" s="34">
        <v>0.0037666666666666673</v>
      </c>
      <c r="U58" s="34">
        <v>0.004066666666666667</v>
      </c>
      <c r="V58" s="21"/>
      <c r="W58" s="35">
        <f aca="true" t="shared" si="19" ref="W58:W63">AVERAGE(F58:O58)</f>
        <v>0.010625833333333334</v>
      </c>
      <c r="X58" s="36">
        <f aca="true" t="shared" si="20" ref="X58:X63">AVERAGE(P58:T58)</f>
        <v>0.004305000000000001</v>
      </c>
      <c r="Y58" s="37">
        <f aca="true" t="shared" si="21" ref="Y58:Y63">AVERAGE(F58:T58)</f>
        <v>0.008518888888888888</v>
      </c>
    </row>
    <row r="59" spans="1:25" ht="15" customHeight="1">
      <c r="A59" s="39">
        <f t="shared" si="18"/>
        <v>-40</v>
      </c>
      <c r="B59" s="13" t="str">
        <f>"Points paid [("&amp;-1*A58&amp;")*("&amp;-1*A37&amp;")]"</f>
        <v>Points paid [(39)*(22)]</v>
      </c>
      <c r="D59" s="59"/>
      <c r="E59" s="38"/>
      <c r="F59" s="21">
        <v>1.11937864942383</v>
      </c>
      <c r="G59" s="21">
        <v>1.0753951394501386</v>
      </c>
      <c r="H59" s="21">
        <v>0.8508256361434656</v>
      </c>
      <c r="I59" s="21">
        <v>0.883826624104302</v>
      </c>
      <c r="J59" s="21">
        <v>0.719887754463497</v>
      </c>
      <c r="K59" s="21">
        <v>0.9043587303447047</v>
      </c>
      <c r="L59" s="21">
        <v>0.9434376917301784</v>
      </c>
      <c r="M59" s="21">
        <v>1.0056337073188446</v>
      </c>
      <c r="N59" s="21">
        <v>1.061558818990347</v>
      </c>
      <c r="O59" s="21">
        <v>1.0426096197503185</v>
      </c>
      <c r="P59" s="21">
        <v>0.8793668266393198</v>
      </c>
      <c r="Q59" s="21">
        <v>0.8813338969606662</v>
      </c>
      <c r="R59" s="21">
        <v>0.8777906215647546</v>
      </c>
      <c r="S59" s="21">
        <v>1.072021798000506</v>
      </c>
      <c r="T59" s="21">
        <v>1.2253529297273067</v>
      </c>
      <c r="U59" s="21">
        <v>1.1676801939599613</v>
      </c>
      <c r="V59" s="21"/>
      <c r="W59" s="35">
        <f t="shared" si="19"/>
        <v>0.9606912371719627</v>
      </c>
      <c r="X59" s="36">
        <f t="shared" si="20"/>
        <v>0.9871732145785106</v>
      </c>
      <c r="Y59" s="37">
        <f t="shared" si="21"/>
        <v>0.9695185629741452</v>
      </c>
    </row>
    <row r="60" spans="1:25" ht="15" customHeight="1">
      <c r="A60" s="39">
        <f t="shared" si="18"/>
        <v>-41</v>
      </c>
      <c r="B60" s="13" t="str">
        <f>"Total closing costs paid in cash [("&amp;-1*A54&amp;")+("&amp;-1*A59&amp;")]"</f>
        <v>Total closing costs paid in cash [(36)+(40)]</v>
      </c>
      <c r="D60" s="59"/>
      <c r="E60" s="38"/>
      <c r="F60" s="21">
        <v>34.91096257164736</v>
      </c>
      <c r="G60" s="21">
        <v>33.01776237557492</v>
      </c>
      <c r="H60" s="21">
        <v>32.596534976532055</v>
      </c>
      <c r="I60" s="21">
        <v>35.639370803819915</v>
      </c>
      <c r="J60" s="21">
        <v>32.8597734952707</v>
      </c>
      <c r="K60" s="21">
        <v>40.89195790582268</v>
      </c>
      <c r="L60" s="21">
        <v>41.94587648974257</v>
      </c>
      <c r="M60" s="21">
        <v>50.89557576689387</v>
      </c>
      <c r="N60" s="21">
        <v>61.44272943723847</v>
      </c>
      <c r="O60" s="21">
        <v>66.74878324230926</v>
      </c>
      <c r="P60" s="21">
        <v>71.21318422834923</v>
      </c>
      <c r="Q60" s="21">
        <v>82.21815424158883</v>
      </c>
      <c r="R60" s="21">
        <v>101.96022335989454</v>
      </c>
      <c r="S60" s="21">
        <v>116.69987905433764</v>
      </c>
      <c r="T60" s="21">
        <v>141.8675580368758</v>
      </c>
      <c r="U60" s="21">
        <v>122.94748872873686</v>
      </c>
      <c r="V60" s="21"/>
      <c r="W60" s="22">
        <f t="shared" si="19"/>
        <v>43.09493270648518</v>
      </c>
      <c r="X60" s="23">
        <f t="shared" si="20"/>
        <v>102.7917997842092</v>
      </c>
      <c r="Y60" s="24">
        <f t="shared" si="21"/>
        <v>62.99388839905986</v>
      </c>
    </row>
    <row r="61" spans="1:25" ht="15" customHeight="1">
      <c r="A61" s="39">
        <f t="shared" si="18"/>
        <v>-42</v>
      </c>
      <c r="B61" s="13" t="s">
        <v>71</v>
      </c>
      <c r="C61" s="33"/>
      <c r="D61" s="61"/>
      <c r="E61" s="38"/>
      <c r="F61" s="21">
        <v>131.40960191145717</v>
      </c>
      <c r="G61" s="21">
        <v>125.35009490327766</v>
      </c>
      <c r="H61" s="21">
        <v>125.71363967814248</v>
      </c>
      <c r="I61" s="21">
        <v>149.16845954901294</v>
      </c>
      <c r="J61" s="21">
        <v>132.79795755609592</v>
      </c>
      <c r="K61" s="21">
        <v>160.79496041928354</v>
      </c>
      <c r="L61" s="21">
        <v>157.86735315062793</v>
      </c>
      <c r="M61" s="21">
        <v>173.79576946009752</v>
      </c>
      <c r="N61" s="21">
        <v>227.142293888409</v>
      </c>
      <c r="O61" s="21">
        <v>248.5830675416845</v>
      </c>
      <c r="P61" s="21">
        <v>256.7859039007407</v>
      </c>
      <c r="Q61" s="21">
        <v>289.0080571913509</v>
      </c>
      <c r="R61" s="21">
        <v>343.4173644744831</v>
      </c>
      <c r="S61" s="21">
        <v>403.6865793591939</v>
      </c>
      <c r="T61" s="21">
        <v>489.0002267052724</v>
      </c>
      <c r="U61" s="21">
        <v>445.9168541249666</v>
      </c>
      <c r="V61" s="21"/>
      <c r="W61" s="22">
        <f t="shared" si="19"/>
        <v>163.2623198058089</v>
      </c>
      <c r="X61" s="23">
        <f t="shared" si="20"/>
        <v>356.3796263262082</v>
      </c>
      <c r="Y61" s="24">
        <f t="shared" si="21"/>
        <v>227.63475531260866</v>
      </c>
    </row>
    <row r="62" spans="1:25" ht="15" customHeight="1">
      <c r="A62" s="39">
        <f t="shared" si="18"/>
        <v>-43</v>
      </c>
      <c r="B62" s="13" t="s">
        <v>19</v>
      </c>
      <c r="C62" s="33"/>
      <c r="D62" s="61"/>
      <c r="E62" s="38"/>
      <c r="F62" s="21">
        <v>8.254153247347993</v>
      </c>
      <c r="G62" s="21">
        <v>7.895509195658409</v>
      </c>
      <c r="H62" s="21">
        <v>7.619380782561159</v>
      </c>
      <c r="I62" s="21">
        <v>8.934242625750885</v>
      </c>
      <c r="J62" s="21">
        <v>7.81305657752055</v>
      </c>
      <c r="K62" s="21">
        <v>9.457691643877155</v>
      </c>
      <c r="L62" s="21">
        <v>9.329476734032191</v>
      </c>
      <c r="M62" s="21">
        <v>10.105509816765991</v>
      </c>
      <c r="N62" s="21">
        <v>12.993650708201168</v>
      </c>
      <c r="O62" s="21">
        <v>14.090759933491745</v>
      </c>
      <c r="P62" s="21">
        <v>14.306593593942718</v>
      </c>
      <c r="Q62" s="21">
        <v>15.974397020253672</v>
      </c>
      <c r="R62" s="21">
        <v>18.79772430598373</v>
      </c>
      <c r="S62" s="21">
        <v>22.11742082430603</v>
      </c>
      <c r="T62" s="21">
        <v>26.68954008133294</v>
      </c>
      <c r="U62" s="21">
        <v>24.42743330970775</v>
      </c>
      <c r="V62" s="21"/>
      <c r="W62" s="22">
        <f t="shared" si="19"/>
        <v>9.649343126520725</v>
      </c>
      <c r="X62" s="23">
        <f t="shared" si="20"/>
        <v>19.577135165163817</v>
      </c>
      <c r="Y62" s="24">
        <f t="shared" si="21"/>
        <v>12.958607139401757</v>
      </c>
    </row>
    <row r="63" spans="1:25" ht="15" customHeight="1">
      <c r="A63" s="39">
        <f t="shared" si="18"/>
        <v>-44</v>
      </c>
      <c r="B63" s="13" t="str">
        <f>"Total closing costs on home sales [("&amp;-1*A62&amp;")+("&amp;-1*A60&amp;")}]"</f>
        <v>Total closing costs on home sales [(43)+(41)}]</v>
      </c>
      <c r="C63" s="33"/>
      <c r="D63" s="61"/>
      <c r="E63" s="38"/>
      <c r="F63" s="21">
        <v>43.16511581899536</v>
      </c>
      <c r="G63" s="21">
        <v>40.91327157123333</v>
      </c>
      <c r="H63" s="21">
        <v>40.21591575909322</v>
      </c>
      <c r="I63" s="21">
        <v>44.5736134295708</v>
      </c>
      <c r="J63" s="21">
        <v>40.67283007279126</v>
      </c>
      <c r="K63" s="21">
        <v>50.34964954969983</v>
      </c>
      <c r="L63" s="21">
        <v>51.275353223774765</v>
      </c>
      <c r="M63" s="21">
        <v>61.00108558365986</v>
      </c>
      <c r="N63" s="21">
        <v>74.43638014543964</v>
      </c>
      <c r="O63" s="21">
        <v>80.839543175801</v>
      </c>
      <c r="P63" s="21">
        <v>85.51977782229197</v>
      </c>
      <c r="Q63" s="21">
        <v>98.19255126184251</v>
      </c>
      <c r="R63" s="21">
        <v>120.75794766587828</v>
      </c>
      <c r="S63" s="21">
        <v>138.81729987864367</v>
      </c>
      <c r="T63" s="21">
        <v>168.55709811820873</v>
      </c>
      <c r="U63" s="21">
        <v>147.3749220384446</v>
      </c>
      <c r="V63" s="21"/>
      <c r="W63" s="22">
        <f t="shared" si="19"/>
        <v>52.744275833005915</v>
      </c>
      <c r="X63" s="23">
        <f t="shared" si="20"/>
        <v>122.36893494937303</v>
      </c>
      <c r="Y63" s="24">
        <f t="shared" si="21"/>
        <v>75.95249553846162</v>
      </c>
    </row>
    <row r="64" spans="1:25" ht="15" customHeight="1">
      <c r="A64" s="39"/>
      <c r="C64" s="33"/>
      <c r="D64" s="61"/>
      <c r="E64" s="38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2"/>
      <c r="X64" s="23"/>
      <c r="Y64" s="24"/>
    </row>
    <row r="65" spans="1:25" ht="15" customHeight="1">
      <c r="A65" s="39"/>
      <c r="C65" s="33"/>
      <c r="D65" s="61"/>
      <c r="E65" s="38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2"/>
      <c r="X65" s="23"/>
      <c r="Y65" s="24"/>
    </row>
    <row r="66" spans="1:25" ht="15" customHeight="1">
      <c r="A66" s="39"/>
      <c r="C66" s="33"/>
      <c r="D66" s="61"/>
      <c r="E66" s="38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2"/>
      <c r="X66" s="23"/>
      <c r="Y66" s="24"/>
    </row>
    <row r="67" spans="1:25" ht="15" customHeight="1">
      <c r="A67" s="14"/>
      <c r="C67" s="33"/>
      <c r="D67" s="33"/>
      <c r="E67" s="38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2"/>
      <c r="X67" s="23"/>
      <c r="Y67" s="24"/>
    </row>
    <row r="68" spans="1:25" ht="15" customHeight="1">
      <c r="A68" s="14"/>
      <c r="B68" s="47" t="s">
        <v>20</v>
      </c>
      <c r="C68" s="15"/>
      <c r="D68" s="15"/>
      <c r="E68" s="21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21"/>
      <c r="W68" s="35"/>
      <c r="X68" s="36"/>
      <c r="Y68" s="37"/>
    </row>
    <row r="69" spans="1:25" ht="15" customHeight="1">
      <c r="A69" s="43">
        <f>A63-1</f>
        <v>-45</v>
      </c>
      <c r="B69" s="13" t="s">
        <v>72</v>
      </c>
      <c r="E69" s="38">
        <v>214.69</v>
      </c>
      <c r="F69" s="21">
        <v>221.99</v>
      </c>
      <c r="G69" s="21">
        <v>217.11</v>
      </c>
      <c r="H69" s="21">
        <v>210.38</v>
      </c>
      <c r="I69" s="21">
        <v>221.8</v>
      </c>
      <c r="J69" s="21">
        <v>237.47</v>
      </c>
      <c r="K69" s="21">
        <v>262.55</v>
      </c>
      <c r="L69" s="21">
        <v>296.98</v>
      </c>
      <c r="M69" s="21">
        <v>309.93</v>
      </c>
      <c r="N69" s="21">
        <v>334.34</v>
      </c>
      <c r="O69" s="21">
        <v>407.35</v>
      </c>
      <c r="P69" s="21">
        <v>445.135</v>
      </c>
      <c r="Q69" s="21">
        <v>501.13</v>
      </c>
      <c r="R69" s="21">
        <v>593.39</v>
      </c>
      <c r="S69" s="21">
        <v>778.55</v>
      </c>
      <c r="T69" s="21">
        <v>913.83</v>
      </c>
      <c r="U69" s="21">
        <v>1019.23</v>
      </c>
      <c r="V69" s="21"/>
      <c r="W69" s="22">
        <f aca="true" t="shared" si="22" ref="W69:W77">AVERAGE(F69:O69)</f>
        <v>271.99</v>
      </c>
      <c r="X69" s="23">
        <f aca="true" t="shared" si="23" ref="X69:X77">AVERAGE(P69:T69)</f>
        <v>646.4069999999999</v>
      </c>
      <c r="Y69" s="24">
        <f aca="true" t="shared" si="24" ref="Y69:Y77">AVERAGE(F69:T69)</f>
        <v>396.7956666666667</v>
      </c>
    </row>
    <row r="70" spans="1:25" ht="15" customHeight="1">
      <c r="A70" s="43">
        <f aca="true" t="shared" si="25" ref="A70:A77">A69-1</f>
        <v>-46</v>
      </c>
      <c r="B70" s="20" t="str">
        <f>"   Change"</f>
        <v>   Change</v>
      </c>
      <c r="C70" s="15"/>
      <c r="D70" s="62"/>
      <c r="E70" s="41"/>
      <c r="F70" s="21">
        <v>7.300000000000011</v>
      </c>
      <c r="G70" s="21">
        <v>-4.88</v>
      </c>
      <c r="H70" s="21">
        <v>-6.730000000000018</v>
      </c>
      <c r="I70" s="21">
        <v>11.42</v>
      </c>
      <c r="J70" s="21">
        <v>15.67</v>
      </c>
      <c r="K70" s="21">
        <v>25.08</v>
      </c>
      <c r="L70" s="21">
        <v>34.43</v>
      </c>
      <c r="M70" s="21">
        <v>12.95</v>
      </c>
      <c r="N70" s="21">
        <v>24.41</v>
      </c>
      <c r="O70" s="21">
        <v>73.01</v>
      </c>
      <c r="P70" s="21">
        <v>37.785</v>
      </c>
      <c r="Q70" s="21">
        <v>55.995</v>
      </c>
      <c r="R70" s="21">
        <v>92.26</v>
      </c>
      <c r="S70" s="21">
        <v>185.16</v>
      </c>
      <c r="T70" s="21">
        <v>135.28</v>
      </c>
      <c r="U70" s="21">
        <v>105.4</v>
      </c>
      <c r="V70" s="21"/>
      <c r="W70" s="22">
        <f t="shared" si="22"/>
        <v>19.266000000000002</v>
      </c>
      <c r="X70" s="23">
        <f t="shared" si="23"/>
        <v>101.296</v>
      </c>
      <c r="Y70" s="24">
        <f t="shared" si="24"/>
        <v>46.60933333333333</v>
      </c>
    </row>
    <row r="71" spans="1:25" s="32" customFormat="1" ht="15" customHeight="1">
      <c r="A71" s="25">
        <f t="shared" si="25"/>
        <v>-47</v>
      </c>
      <c r="B71" s="63" t="str">
        <f>"   + HE debt repayments from other EE [("&amp;-1*A70&amp;")+("&amp;-1*A24&amp;")]&lt;1&gt;"</f>
        <v>   + HE debt repayments from other EE [(46)+(14)]&lt;1&gt;</v>
      </c>
      <c r="C71" s="54"/>
      <c r="D71" s="64"/>
      <c r="E71" s="52"/>
      <c r="F71" s="52">
        <f aca="true" t="shared" si="26" ref="F71:U71">F70+F24</f>
        <v>24.098321175631238</v>
      </c>
      <c r="G71" s="52">
        <f t="shared" si="26"/>
        <v>14.224096212146204</v>
      </c>
      <c r="H71" s="52">
        <f t="shared" si="26"/>
        <v>14.114786487194664</v>
      </c>
      <c r="I71" s="52">
        <f t="shared" si="26"/>
        <v>35.47949926475005</v>
      </c>
      <c r="J71" s="52">
        <f t="shared" si="26"/>
        <v>34.11038219632317</v>
      </c>
      <c r="K71" s="52">
        <f t="shared" si="26"/>
        <v>52.879767172453555</v>
      </c>
      <c r="L71" s="52">
        <f t="shared" si="26"/>
        <v>63.28359885534219</v>
      </c>
      <c r="M71" s="52">
        <f t="shared" si="26"/>
        <v>54.139961507720614</v>
      </c>
      <c r="N71" s="52">
        <f t="shared" si="26"/>
        <v>78.96752415321122</v>
      </c>
      <c r="O71" s="52">
        <f t="shared" si="26"/>
        <v>137.01359681503</v>
      </c>
      <c r="P71" s="52">
        <f t="shared" si="26"/>
        <v>114.89326738060772</v>
      </c>
      <c r="Q71" s="52">
        <f t="shared" si="26"/>
        <v>135.48127914434346</v>
      </c>
      <c r="R71" s="52">
        <f t="shared" si="26"/>
        <v>189.68834810272605</v>
      </c>
      <c r="S71" s="52">
        <f t="shared" si="26"/>
        <v>330.9007537436168</v>
      </c>
      <c r="T71" s="52">
        <f t="shared" si="26"/>
        <v>325.6059221482865</v>
      </c>
      <c r="U71" s="52">
        <f t="shared" si="26"/>
        <v>277.1175870061653</v>
      </c>
      <c r="V71" s="28"/>
      <c r="W71" s="29">
        <f t="shared" si="22"/>
        <v>50.83115338398029</v>
      </c>
      <c r="X71" s="30">
        <f t="shared" si="23"/>
        <v>219.31391410391612</v>
      </c>
      <c r="Y71" s="31">
        <f t="shared" si="24"/>
        <v>106.9920736239589</v>
      </c>
    </row>
    <row r="72" spans="1:25" ht="15" customHeight="1">
      <c r="A72" s="14">
        <f t="shared" si="25"/>
        <v>-48</v>
      </c>
      <c r="B72" s="20" t="str">
        <f>"        Transactions costs [("&amp;-1*A82&amp;")+("&amp;-1*A91&amp;")]"</f>
        <v>        Transactions costs [(57)+(65)]</v>
      </c>
      <c r="C72" s="15"/>
      <c r="D72" s="62"/>
      <c r="E72" s="21"/>
      <c r="F72" s="21">
        <v>0.36614737401197905</v>
      </c>
      <c r="G72" s="21">
        <v>0.1973906078608651</v>
      </c>
      <c r="H72" s="21">
        <v>0.16657253217136067</v>
      </c>
      <c r="I72" s="21">
        <v>0.3709288429887342</v>
      </c>
      <c r="J72" s="21">
        <v>0.32404626968878475</v>
      </c>
      <c r="K72" s="21">
        <v>0.44588832234286546</v>
      </c>
      <c r="L72" s="21">
        <v>0.4904047425586467</v>
      </c>
      <c r="M72" s="21">
        <v>0.3549387460153731</v>
      </c>
      <c r="N72" s="21">
        <v>0.5079284941331533</v>
      </c>
      <c r="O72" s="21">
        <v>0.8476798547790123</v>
      </c>
      <c r="P72" s="21">
        <v>0.7344718696078015</v>
      </c>
      <c r="Q72" s="21">
        <v>0.8689016072980802</v>
      </c>
      <c r="R72" s="21">
        <v>1.1199430257874992</v>
      </c>
      <c r="S72" s="21">
        <v>1.8012242430514158</v>
      </c>
      <c r="T72" s="21">
        <v>1.6950732001518638</v>
      </c>
      <c r="U72" s="21">
        <v>1.4314912424759512</v>
      </c>
      <c r="V72" s="21"/>
      <c r="W72" s="22">
        <f t="shared" si="22"/>
        <v>0.4071925786550775</v>
      </c>
      <c r="X72" s="23">
        <f t="shared" si="23"/>
        <v>1.243922789179332</v>
      </c>
      <c r="Y72" s="24">
        <f t="shared" si="24"/>
        <v>0.6861026488298291</v>
      </c>
    </row>
    <row r="73" spans="1:25" ht="15" customHeight="1">
      <c r="A73" s="14">
        <f t="shared" si="25"/>
        <v>-49</v>
      </c>
      <c r="B73" s="33" t="str">
        <f>"        Repayment of non-mortgage debt [("&amp;-1*A83&amp;")+("&amp;-1*A92&amp;")]"</f>
        <v>        Repayment of non-mortgage debt [(58)+(66)]</v>
      </c>
      <c r="C73" s="15"/>
      <c r="D73" s="62"/>
      <c r="E73" s="21"/>
      <c r="F73" s="21">
        <v>7.305715233203245</v>
      </c>
      <c r="G73" s="21">
        <v>4.498945581162377</v>
      </c>
      <c r="H73" s="21">
        <v>5.364233076718934</v>
      </c>
      <c r="I73" s="21">
        <v>13.902477892124454</v>
      </c>
      <c r="J73" s="21">
        <v>12.701353786273327</v>
      </c>
      <c r="K73" s="21">
        <v>18.8588129458854</v>
      </c>
      <c r="L73" s="21">
        <v>21.946936102369413</v>
      </c>
      <c r="M73" s="21">
        <v>19.862980496298324</v>
      </c>
      <c r="N73" s="21">
        <v>27.33452154315831</v>
      </c>
      <c r="O73" s="21">
        <v>46.328176080512605</v>
      </c>
      <c r="P73" s="21">
        <v>32.89423284261203</v>
      </c>
      <c r="Q73" s="21">
        <v>33.17652603120499</v>
      </c>
      <c r="R73" s="21">
        <v>46.75349940983769</v>
      </c>
      <c r="S73" s="21">
        <v>84.87195300666932</v>
      </c>
      <c r="T73" s="21">
        <v>90.33589945065417</v>
      </c>
      <c r="U73" s="21">
        <v>78.17166715815421</v>
      </c>
      <c r="V73" s="21"/>
      <c r="W73" s="22">
        <f t="shared" si="22"/>
        <v>17.810415273770637</v>
      </c>
      <c r="X73" s="23">
        <f t="shared" si="23"/>
        <v>57.606422148195634</v>
      </c>
      <c r="Y73" s="24">
        <f t="shared" si="24"/>
        <v>31.075750898578974</v>
      </c>
    </row>
    <row r="74" spans="1:25" ht="15" customHeight="1">
      <c r="A74" s="14">
        <f t="shared" si="25"/>
        <v>-50</v>
      </c>
      <c r="B74" s="33" t="str">
        <f>"        Home improvements [("&amp;-1*A84&amp;")+("&amp;-1*A93&amp;")]"</f>
        <v>        Home improvements [(59)+(67)]</v>
      </c>
      <c r="C74" s="15"/>
      <c r="D74" s="62"/>
      <c r="E74" s="21"/>
      <c r="F74" s="21">
        <v>7.145660462830415</v>
      </c>
      <c r="G74" s="21">
        <v>4.221886234303893</v>
      </c>
      <c r="H74" s="21">
        <v>4.190892597132261</v>
      </c>
      <c r="I74" s="21">
        <v>10.545438989318516</v>
      </c>
      <c r="J74" s="21">
        <v>10.58280914867574</v>
      </c>
      <c r="K74" s="21">
        <v>17.12235165792852</v>
      </c>
      <c r="L74" s="21">
        <v>20.415818522547603</v>
      </c>
      <c r="M74" s="21">
        <v>17.636190819786783</v>
      </c>
      <c r="N74" s="21">
        <v>25.497070154359164</v>
      </c>
      <c r="O74" s="21">
        <v>43.68887178550796</v>
      </c>
      <c r="P74" s="21">
        <v>35.629120271757856</v>
      </c>
      <c r="Q74" s="21">
        <v>41.08794907748826</v>
      </c>
      <c r="R74" s="21">
        <v>57.146746915961074</v>
      </c>
      <c r="S74" s="21">
        <v>100.03937106960474</v>
      </c>
      <c r="T74" s="21">
        <v>98.40076160208845</v>
      </c>
      <c r="U74" s="21">
        <v>83.56375559039938</v>
      </c>
      <c r="V74" s="21"/>
      <c r="W74" s="22">
        <f t="shared" si="22"/>
        <v>16.104699037239083</v>
      </c>
      <c r="X74" s="23">
        <f t="shared" si="23"/>
        <v>66.46078978738008</v>
      </c>
      <c r="Y74" s="24">
        <f t="shared" si="24"/>
        <v>32.89006262061942</v>
      </c>
    </row>
    <row r="75" spans="1:25" ht="15" customHeight="1">
      <c r="A75" s="14">
        <f t="shared" si="25"/>
        <v>-51</v>
      </c>
      <c r="B75" s="33" t="str">
        <f>"        PCE [("&amp;-1*A85&amp;")+("&amp;-1*A94&amp;")]"</f>
        <v>        PCE [(60)+(68)]</v>
      </c>
      <c r="C75" s="15"/>
      <c r="D75" s="62"/>
      <c r="E75" s="21"/>
      <c r="F75" s="21">
        <v>5.629924225453672</v>
      </c>
      <c r="G75" s="21">
        <v>3.214025944838665</v>
      </c>
      <c r="H75" s="21">
        <v>2.6375696067063585</v>
      </c>
      <c r="I75" s="21">
        <v>6.387848040656383</v>
      </c>
      <c r="J75" s="21">
        <v>6.549748607675902</v>
      </c>
      <c r="K75" s="21">
        <v>10.585081751414608</v>
      </c>
      <c r="L75" s="21">
        <v>13.36715879391531</v>
      </c>
      <c r="M75" s="21">
        <v>10.296581368655652</v>
      </c>
      <c r="N75" s="21">
        <v>16.797470750935474</v>
      </c>
      <c r="O75" s="21">
        <v>29.48443001021068</v>
      </c>
      <c r="P75" s="21">
        <v>30.802112751698736</v>
      </c>
      <c r="Q75" s="21">
        <v>42.09692148925231</v>
      </c>
      <c r="R75" s="21">
        <v>57.70112671976641</v>
      </c>
      <c r="S75" s="21">
        <v>96.82520701578314</v>
      </c>
      <c r="T75" s="21">
        <v>85.75565012997973</v>
      </c>
      <c r="U75" s="21">
        <v>70.80552224031952</v>
      </c>
      <c r="V75" s="21"/>
      <c r="W75" s="22">
        <f t="shared" si="22"/>
        <v>10.494983910046269</v>
      </c>
      <c r="X75" s="23">
        <f t="shared" si="23"/>
        <v>62.63620362129607</v>
      </c>
      <c r="Y75" s="24">
        <f t="shared" si="24"/>
        <v>27.875390480462865</v>
      </c>
    </row>
    <row r="76" spans="1:25" ht="15" customHeight="1">
      <c r="A76" s="14">
        <f t="shared" si="25"/>
        <v>-52</v>
      </c>
      <c r="B76" s="33" t="str">
        <f>"        Real estate and business expenses [("&amp;-1*A86&amp;")+("&amp;-1*A95&amp;")]"</f>
        <v>        Real estate and business expenses [(61)+(69)]</v>
      </c>
      <c r="C76" s="15"/>
      <c r="D76" s="62"/>
      <c r="E76" s="21"/>
      <c r="F76" s="21">
        <v>3.650873880131928</v>
      </c>
      <c r="G76" s="21">
        <v>2.091847843980406</v>
      </c>
      <c r="H76" s="21">
        <v>1.7555186744657503</v>
      </c>
      <c r="I76" s="21">
        <v>4.272805499661954</v>
      </c>
      <c r="J76" s="21">
        <v>3.952424384009421</v>
      </c>
      <c r="K76" s="21">
        <v>5.867632494882153</v>
      </c>
      <c r="L76" s="21">
        <v>7.0632806939512225</v>
      </c>
      <c r="M76" s="21">
        <v>5.989270076964476</v>
      </c>
      <c r="N76" s="21">
        <v>8.830533210625113</v>
      </c>
      <c r="O76" s="21">
        <v>16.667483198262055</v>
      </c>
      <c r="P76" s="21">
        <v>14.840643416429991</v>
      </c>
      <c r="Q76" s="21">
        <v>18.267112182106903</v>
      </c>
      <c r="R76" s="21">
        <v>26.996531628635807</v>
      </c>
      <c r="S76" s="21">
        <v>47.41173231770209</v>
      </c>
      <c r="T76" s="21">
        <v>49.47052537581368</v>
      </c>
      <c r="U76" s="21">
        <v>43.196312858866015</v>
      </c>
      <c r="V76" s="60"/>
      <c r="W76" s="22">
        <f t="shared" si="22"/>
        <v>6.014166995693448</v>
      </c>
      <c r="X76" s="23">
        <f t="shared" si="23"/>
        <v>31.39730898413769</v>
      </c>
      <c r="Y76" s="24">
        <f t="shared" si="24"/>
        <v>14.475214325174864</v>
      </c>
    </row>
    <row r="77" spans="1:25" s="59" customFormat="1" ht="15" customHeight="1">
      <c r="A77" s="14">
        <f t="shared" si="25"/>
        <v>-53</v>
      </c>
      <c r="B77" s="33" t="str">
        <f>"Memo: PCE plus repayment of non-mortgage debt [("&amp;-1*A73&amp;")+("&amp;-1*A75&amp;")]"</f>
        <v>Memo: PCE plus repayment of non-mortgage debt [(49)+(51)]</v>
      </c>
      <c r="C77" s="49"/>
      <c r="D77" s="53"/>
      <c r="E77" s="65"/>
      <c r="F77" s="21">
        <v>12.935639458656917</v>
      </c>
      <c r="G77" s="21">
        <v>7.712971526001041</v>
      </c>
      <c r="H77" s="21">
        <v>8.001802683425293</v>
      </c>
      <c r="I77" s="21">
        <v>20.29032593278084</v>
      </c>
      <c r="J77" s="21">
        <v>19.25110239394923</v>
      </c>
      <c r="K77" s="21">
        <v>29.44389469730001</v>
      </c>
      <c r="L77" s="21">
        <v>35.31409489628472</v>
      </c>
      <c r="M77" s="21">
        <v>30.159561864953975</v>
      </c>
      <c r="N77" s="21">
        <v>44.131992294093784</v>
      </c>
      <c r="O77" s="21">
        <v>75.81260609072328</v>
      </c>
      <c r="P77" s="21">
        <v>63.69634559431076</v>
      </c>
      <c r="Q77" s="21">
        <v>75.2734475204573</v>
      </c>
      <c r="R77" s="21">
        <v>104.4546261296041</v>
      </c>
      <c r="S77" s="21">
        <v>181.69716002245247</v>
      </c>
      <c r="T77" s="21">
        <v>176.0915495806339</v>
      </c>
      <c r="U77" s="21">
        <v>148.97718939847374</v>
      </c>
      <c r="V77" s="22"/>
      <c r="W77" s="22">
        <f t="shared" si="22"/>
        <v>28.305399183816906</v>
      </c>
      <c r="X77" s="23">
        <f t="shared" si="23"/>
        <v>120.2426257694917</v>
      </c>
      <c r="Y77" s="66">
        <f t="shared" si="24"/>
        <v>58.951141379041836</v>
      </c>
    </row>
    <row r="78" spans="1:25" s="59" customFormat="1" ht="15" customHeight="1">
      <c r="A78" s="14"/>
      <c r="B78" s="33"/>
      <c r="C78" s="49"/>
      <c r="D78" s="53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22"/>
      <c r="W78" s="22"/>
      <c r="X78" s="23"/>
      <c r="Y78" s="66"/>
    </row>
    <row r="79" spans="1:25" ht="15" customHeight="1">
      <c r="A79" s="14">
        <f>A77-1</f>
        <v>-54</v>
      </c>
      <c r="B79" s="13" t="s">
        <v>73</v>
      </c>
      <c r="C79" s="15"/>
      <c r="D79" s="62"/>
      <c r="E79" s="38">
        <v>111.875</v>
      </c>
      <c r="F79" s="21">
        <v>110.32600000000001</v>
      </c>
      <c r="G79" s="21">
        <v>105.659</v>
      </c>
      <c r="H79" s="21">
        <v>103.035</v>
      </c>
      <c r="I79" s="21">
        <v>111.24</v>
      </c>
      <c r="J79" s="21">
        <v>121.22200000000001</v>
      </c>
      <c r="K79" s="21">
        <v>137.421</v>
      </c>
      <c r="L79" s="21">
        <v>156.299</v>
      </c>
      <c r="M79" s="21">
        <v>167.894</v>
      </c>
      <c r="N79" s="21">
        <v>180.16400000000002</v>
      </c>
      <c r="O79" s="21">
        <v>216.919</v>
      </c>
      <c r="P79" s="21">
        <v>212.368</v>
      </c>
      <c r="Q79" s="21">
        <v>195.198</v>
      </c>
      <c r="R79" s="21">
        <v>190.394</v>
      </c>
      <c r="S79" s="21">
        <v>214.707</v>
      </c>
      <c r="T79" s="21">
        <v>261.145</v>
      </c>
      <c r="U79" s="21">
        <v>302.457</v>
      </c>
      <c r="V79" s="21"/>
      <c r="W79" s="22">
        <f aca="true" t="shared" si="27" ref="W79:W86">AVERAGE(F79:O79)</f>
        <v>141.0179</v>
      </c>
      <c r="X79" s="23">
        <f aca="true" t="shared" si="28" ref="X79:X86">AVERAGE(P79:T79)</f>
        <v>214.76239999999999</v>
      </c>
      <c r="Y79" s="24">
        <f aca="true" t="shared" si="29" ref="Y79:Y86">AVERAGE(F79:T79)</f>
        <v>165.5994</v>
      </c>
    </row>
    <row r="80" spans="1:25" ht="14.25" customHeight="1">
      <c r="A80" s="14">
        <f aca="true" t="shared" si="30" ref="A80:A86">A79-1</f>
        <v>-55</v>
      </c>
      <c r="B80" s="67" t="str">
        <f>"   Change"</f>
        <v>   Change</v>
      </c>
      <c r="C80" s="49"/>
      <c r="D80" s="17"/>
      <c r="E80" s="65"/>
      <c r="F80" s="21">
        <v>-1.5489999999999924</v>
      </c>
      <c r="G80" s="21">
        <v>-4.667000000000002</v>
      </c>
      <c r="H80" s="21">
        <v>-2.6240000000000094</v>
      </c>
      <c r="I80" s="21">
        <v>8.205</v>
      </c>
      <c r="J80" s="21">
        <v>9.982000000000014</v>
      </c>
      <c r="K80" s="21">
        <v>16.198999999999984</v>
      </c>
      <c r="L80" s="21">
        <v>18.878000000000014</v>
      </c>
      <c r="M80" s="21">
        <v>11.595</v>
      </c>
      <c r="N80" s="21">
        <v>12.27</v>
      </c>
      <c r="O80" s="21">
        <v>36.755</v>
      </c>
      <c r="P80" s="21">
        <v>-4.551000000000016</v>
      </c>
      <c r="Q80" s="21">
        <v>-17.17</v>
      </c>
      <c r="R80" s="21">
        <v>-4.804000000000002</v>
      </c>
      <c r="S80" s="21">
        <v>24.312999999999988</v>
      </c>
      <c r="T80" s="21">
        <v>46.43799999999999</v>
      </c>
      <c r="U80" s="21">
        <v>41.31200000000001</v>
      </c>
      <c r="V80" s="21"/>
      <c r="W80" s="22">
        <f t="shared" si="27"/>
        <v>10.5044</v>
      </c>
      <c r="X80" s="23">
        <f t="shared" si="28"/>
        <v>8.845199999999995</v>
      </c>
      <c r="Y80" s="24">
        <f t="shared" si="29"/>
        <v>9.951333333333332</v>
      </c>
    </row>
    <row r="81" spans="1:25" ht="14.25" customHeight="1">
      <c r="A81" s="14">
        <f t="shared" si="30"/>
        <v>-56</v>
      </c>
      <c r="B81" s="67" t="str">
        <f>"   + HE repayment from other EE [{("&amp;-1*A79&amp;")/("&amp;-1*A69&amp;")}{t-1}*("&amp;-1*A24&amp;")+("&amp;-1*A80&amp;")]&lt;1&gt;"</f>
        <v>   + HE repayment from other EE [{(54)/(45)}{t-1}*(14)+(55)]&lt;1&gt;</v>
      </c>
      <c r="C81" s="54"/>
      <c r="D81" s="50"/>
      <c r="E81" s="65"/>
      <c r="F81" s="21">
        <v>7.098024151236782</v>
      </c>
      <c r="G81" s="21">
        <v>4.756499394193256</v>
      </c>
      <c r="H81" s="21">
        <v>7.506452307505393</v>
      </c>
      <c r="I81" s="21">
        <v>20.124861691104428</v>
      </c>
      <c r="J81" s="21">
        <v>19.30112575775431</v>
      </c>
      <c r="K81" s="21">
        <v>30.650072962115665</v>
      </c>
      <c r="L81" s="21">
        <v>34.05458515049156</v>
      </c>
      <c r="M81" s="21">
        <v>33.528420356545865</v>
      </c>
      <c r="N81" s="21">
        <v>42.14882607508178</v>
      </c>
      <c r="O81" s="21">
        <v>70.99098990022824</v>
      </c>
      <c r="P81" s="21">
        <v>35.621500242351985</v>
      </c>
      <c r="Q81" s="21">
        <v>18.973866128186526</v>
      </c>
      <c r="R81" s="21">
        <v>29.97550938192559</v>
      </c>
      <c r="S81" s="21">
        <v>67.1664075767153</v>
      </c>
      <c r="T81" s="21">
        <v>100.55034755835561</v>
      </c>
      <c r="U81" s="21">
        <v>92.54937716199461</v>
      </c>
      <c r="V81" s="21"/>
      <c r="W81" s="29">
        <f t="shared" si="27"/>
        <v>27.015985774625733</v>
      </c>
      <c r="X81" s="30">
        <f t="shared" si="28"/>
        <v>50.457526177507006</v>
      </c>
      <c r="Y81" s="31">
        <f t="shared" si="29"/>
        <v>34.82983257558615</v>
      </c>
    </row>
    <row r="82" spans="1:25" ht="14.25" customHeight="1">
      <c r="A82" s="68">
        <f t="shared" si="30"/>
        <v>-57</v>
      </c>
      <c r="B82" s="69" t="str">
        <f>"           Transactions costs [("&amp;A110*-1&amp;")*("&amp;-1*A81&amp;")]"</f>
        <v>           Transactions costs [(78)*(56)]</v>
      </c>
      <c r="C82" s="70"/>
      <c r="D82" s="71"/>
      <c r="E82" s="21"/>
      <c r="F82" s="21">
        <v>0.07932473019206439</v>
      </c>
      <c r="G82" s="21">
        <v>0.048191349287485016</v>
      </c>
      <c r="H82" s="21">
        <v>0.06908090138857922</v>
      </c>
      <c r="I82" s="21">
        <v>0.16568058465770508</v>
      </c>
      <c r="J82" s="21">
        <v>0.14177808100668532</v>
      </c>
      <c r="K82" s="21">
        <v>0.20162097227406184</v>
      </c>
      <c r="L82" s="21">
        <v>0.20070300650815961</v>
      </c>
      <c r="M82" s="21">
        <v>0.17455601627430256</v>
      </c>
      <c r="N82" s="21">
        <v>0.20881985916819376</v>
      </c>
      <c r="O82" s="21">
        <v>0.3397055463640417</v>
      </c>
      <c r="P82" s="21">
        <v>0.1652458584512747</v>
      </c>
      <c r="Q82" s="21">
        <v>0.0856232070323571</v>
      </c>
      <c r="R82" s="21">
        <v>0.12776348870518695</v>
      </c>
      <c r="S82" s="21">
        <v>0.27649819556874033</v>
      </c>
      <c r="T82" s="21">
        <v>0.4122564249892581</v>
      </c>
      <c r="U82" s="21">
        <v>0.3794524463641779</v>
      </c>
      <c r="V82" s="21"/>
      <c r="W82" s="22">
        <f t="shared" si="27"/>
        <v>0.16294610471212784</v>
      </c>
      <c r="X82" s="23">
        <f t="shared" si="28"/>
        <v>0.21347743494936341</v>
      </c>
      <c r="Y82" s="24">
        <f t="shared" si="29"/>
        <v>0.17978988145787303</v>
      </c>
    </row>
    <row r="83" spans="1:25" ht="14.25" customHeight="1">
      <c r="A83" s="14">
        <f t="shared" si="30"/>
        <v>-58</v>
      </c>
      <c r="B83" s="33" t="str">
        <f>"           Repayment of non-mortgage debt [("&amp;A99*-1&amp;")*{("&amp;-1*A81&amp;")-("&amp;-1*A82&amp;")}]"</f>
        <v>           Repayment of non-mortgage debt [(70)*{(56)-(57)}]</v>
      </c>
      <c r="C83" s="15"/>
      <c r="D83" s="72"/>
      <c r="E83" s="21"/>
      <c r="F83" s="21">
        <v>3.758043784496384</v>
      </c>
      <c r="G83" s="21">
        <v>2.5209838350676566</v>
      </c>
      <c r="H83" s="21">
        <v>3.982214611149159</v>
      </c>
      <c r="I83" s="21">
        <v>10.686805631798244</v>
      </c>
      <c r="J83" s="21">
        <v>9.5562446670917</v>
      </c>
      <c r="K83" s="21">
        <v>14.070875540760133</v>
      </c>
      <c r="L83" s="21">
        <v>15.644597051386267</v>
      </c>
      <c r="M83" s="21">
        <v>15.413528217852768</v>
      </c>
      <c r="N83" s="21">
        <v>19.381366508869156</v>
      </c>
      <c r="O83" s="21">
        <v>32.14034698402907</v>
      </c>
      <c r="P83" s="21">
        <v>15.94630017079331</v>
      </c>
      <c r="Q83" s="21">
        <v>8.397264607150401</v>
      </c>
      <c r="R83" s="21">
        <v>12.961004233632316</v>
      </c>
      <c r="S83" s="21">
        <v>29.04609285330465</v>
      </c>
      <c r="T83" s="21">
        <v>42.96603011934185</v>
      </c>
      <c r="U83" s="21">
        <v>39.54714651146074</v>
      </c>
      <c r="V83" s="21"/>
      <c r="W83" s="22">
        <f t="shared" si="27"/>
        <v>12.715500683250053</v>
      </c>
      <c r="X83" s="23">
        <f t="shared" si="28"/>
        <v>21.863338396844505</v>
      </c>
      <c r="Y83" s="24">
        <f t="shared" si="29"/>
        <v>15.76477992111487</v>
      </c>
    </row>
    <row r="84" spans="1:25" ht="14.25" customHeight="1">
      <c r="A84" s="14">
        <f t="shared" si="30"/>
        <v>-59</v>
      </c>
      <c r="B84" s="33" t="str">
        <f>"           Home improvements [("&amp;A100*-1&amp;")*{("&amp;-1*A81&amp;")-("&amp;-1*A82&amp;")}]"</f>
        <v>           Home improvements [(71)*{(56)-(57)}]</v>
      </c>
      <c r="C84" s="15"/>
      <c r="D84" s="72"/>
      <c r="E84" s="21"/>
      <c r="F84" s="21">
        <v>2.100083291336215</v>
      </c>
      <c r="G84" s="21">
        <v>1.4087850843025143</v>
      </c>
      <c r="H84" s="21">
        <v>2.2253552238774716</v>
      </c>
      <c r="I84" s="21">
        <v>5.972038441299021</v>
      </c>
      <c r="J84" s="21">
        <v>6.1321570006913255</v>
      </c>
      <c r="K84" s="21">
        <v>10.380154087446002</v>
      </c>
      <c r="L84" s="21">
        <v>11.541096185448888</v>
      </c>
      <c r="M84" s="21">
        <v>11.370635570547124</v>
      </c>
      <c r="N84" s="21">
        <v>14.297729391788723</v>
      </c>
      <c r="O84" s="21">
        <v>23.71009203739849</v>
      </c>
      <c r="P84" s="21">
        <v>11.763664060421297</v>
      </c>
      <c r="Q84" s="21">
        <v>6.194703398717511</v>
      </c>
      <c r="R84" s="21">
        <v>9.561396565794333</v>
      </c>
      <c r="S84" s="21">
        <v>21.427445547519827</v>
      </c>
      <c r="T84" s="21">
        <v>31.696251727383334</v>
      </c>
      <c r="U84" s="21">
        <v>29.174124475667764</v>
      </c>
      <c r="V84" s="21"/>
      <c r="W84" s="22">
        <f t="shared" si="27"/>
        <v>8.913812631413577</v>
      </c>
      <c r="X84" s="23">
        <f t="shared" si="28"/>
        <v>16.12869225996726</v>
      </c>
      <c r="Y84" s="24">
        <f t="shared" si="29"/>
        <v>11.318772507598137</v>
      </c>
    </row>
    <row r="85" spans="1:25" ht="14.25" customHeight="1">
      <c r="A85" s="14">
        <f t="shared" si="30"/>
        <v>-60</v>
      </c>
      <c r="B85" s="33" t="str">
        <f>"           PCE [("&amp;A101*-1&amp;")*{("&amp;-1*A81&amp;")-("&amp;-1*A82&amp;")}]"</f>
        <v>           PCE [(72)*{(56)-(57)}]</v>
      </c>
      <c r="C85" s="15"/>
      <c r="D85" s="72"/>
      <c r="E85" s="21"/>
      <c r="F85" s="21">
        <v>0.663184197264068</v>
      </c>
      <c r="G85" s="21">
        <v>0.44487950030605716</v>
      </c>
      <c r="H85" s="21">
        <v>0.7027437549086754</v>
      </c>
      <c r="I85" s="21">
        <v>1.8859068761996909</v>
      </c>
      <c r="J85" s="21">
        <v>1.7760454718244936</v>
      </c>
      <c r="K85" s="21">
        <v>2.7680410899856</v>
      </c>
      <c r="L85" s="21">
        <v>3.0776256494530365</v>
      </c>
      <c r="M85" s="21">
        <v>3.0321694854792334</v>
      </c>
      <c r="N85" s="21">
        <v>3.8127278378103266</v>
      </c>
      <c r="O85" s="21">
        <v>6.322691209972931</v>
      </c>
      <c r="P85" s="21">
        <v>3.136977082779012</v>
      </c>
      <c r="Q85" s="21">
        <v>1.6519209063246694</v>
      </c>
      <c r="R85" s="21">
        <v>2.5497057508784886</v>
      </c>
      <c r="S85" s="21">
        <v>5.71398547933862</v>
      </c>
      <c r="T85" s="21">
        <v>8.45233379396889</v>
      </c>
      <c r="U85" s="21">
        <v>7.779766526844737</v>
      </c>
      <c r="V85" s="21"/>
      <c r="W85" s="22">
        <f t="shared" si="27"/>
        <v>2.448601507320411</v>
      </c>
      <c r="X85" s="23">
        <f t="shared" si="28"/>
        <v>4.300984602657936</v>
      </c>
      <c r="Y85" s="24">
        <f t="shared" si="29"/>
        <v>3.066062539099586</v>
      </c>
    </row>
    <row r="86" spans="1:25" ht="14.25" customHeight="1">
      <c r="A86" s="14">
        <f t="shared" si="30"/>
        <v>-61</v>
      </c>
      <c r="B86" s="33" t="str">
        <f>"           Real estate and business expenses [("&amp;A102*-1&amp;")*{("&amp;-1*A81&amp;")-("&amp;-1*A82&amp;")}]"</f>
        <v>           Real estate and business expenses [(73)*{(56)-(57)}]</v>
      </c>
      <c r="C86" s="15"/>
      <c r="D86" s="72"/>
      <c r="E86" s="21"/>
      <c r="F86" s="21">
        <v>0.49738814794805053</v>
      </c>
      <c r="G86" s="21">
        <v>0.33365962522954257</v>
      </c>
      <c r="H86" s="21">
        <v>0.527057816181506</v>
      </c>
      <c r="I86" s="21">
        <v>1.4144301571497666</v>
      </c>
      <c r="J86" s="21">
        <v>1.6949005371401038</v>
      </c>
      <c r="K86" s="21">
        <v>3.229381271649864</v>
      </c>
      <c r="L86" s="21">
        <v>3.590563257695205</v>
      </c>
      <c r="M86" s="21">
        <v>3.5375310663924346</v>
      </c>
      <c r="N86" s="21">
        <v>4.448182477445376</v>
      </c>
      <c r="O86" s="21">
        <v>8.478154122463705</v>
      </c>
      <c r="P86" s="21">
        <v>4.609313069907092</v>
      </c>
      <c r="Q86" s="21">
        <v>2.6443540089615833</v>
      </c>
      <c r="R86" s="21">
        <v>4.775639342915264</v>
      </c>
      <c r="S86" s="21">
        <v>10.702385500983448</v>
      </c>
      <c r="T86" s="21">
        <v>17.023475492672283</v>
      </c>
      <c r="U86" s="21">
        <v>15.668887201657174</v>
      </c>
      <c r="V86" s="141"/>
      <c r="W86" s="22">
        <f t="shared" si="27"/>
        <v>2.7751248479295554</v>
      </c>
      <c r="X86" s="23">
        <f t="shared" si="28"/>
        <v>7.951033483087935</v>
      </c>
      <c r="Y86" s="24">
        <f t="shared" si="29"/>
        <v>4.5004277263156816</v>
      </c>
    </row>
    <row r="87" spans="1:25" s="59" customFormat="1" ht="15" customHeight="1">
      <c r="A87" s="73"/>
      <c r="B87" s="33"/>
      <c r="C87" s="49"/>
      <c r="D87" s="72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22"/>
      <c r="W87" s="22"/>
      <c r="X87" s="23"/>
      <c r="Y87" s="66"/>
    </row>
    <row r="88" spans="1:25" ht="15" customHeight="1">
      <c r="A88" s="14">
        <f>A86-1</f>
        <v>-62</v>
      </c>
      <c r="B88" s="13" t="s">
        <v>21</v>
      </c>
      <c r="C88" s="15"/>
      <c r="D88" s="72"/>
      <c r="E88" s="38">
        <v>102.815</v>
      </c>
      <c r="F88" s="21">
        <v>111.664</v>
      </c>
      <c r="G88" s="21">
        <v>111.45100000000001</v>
      </c>
      <c r="H88" s="21">
        <v>107.345</v>
      </c>
      <c r="I88" s="21">
        <v>110.56</v>
      </c>
      <c r="J88" s="21">
        <v>116.24799999999999</v>
      </c>
      <c r="K88" s="21">
        <v>125.12900000000002</v>
      </c>
      <c r="L88" s="21">
        <v>140.681</v>
      </c>
      <c r="M88" s="21">
        <v>142.036</v>
      </c>
      <c r="N88" s="21">
        <v>154.17599999999996</v>
      </c>
      <c r="O88" s="21">
        <v>190.431</v>
      </c>
      <c r="P88" s="21">
        <v>232.767</v>
      </c>
      <c r="Q88" s="21">
        <v>305.932</v>
      </c>
      <c r="R88" s="21">
        <v>402.996</v>
      </c>
      <c r="S88" s="21">
        <v>563.843</v>
      </c>
      <c r="T88" s="21">
        <v>652.685</v>
      </c>
      <c r="U88" s="21">
        <v>716.773</v>
      </c>
      <c r="V88" s="21"/>
      <c r="W88" s="22">
        <f aca="true" t="shared" si="31" ref="W88:W95">AVERAGE(F88:O88)</f>
        <v>130.9721</v>
      </c>
      <c r="X88" s="23">
        <f aca="true" t="shared" si="32" ref="X88:X95">AVERAGE(P88:T88)</f>
        <v>431.64459999999997</v>
      </c>
      <c r="Y88" s="24">
        <f aca="true" t="shared" si="33" ref="Y88:Y95">AVERAGE(F88:T88)</f>
        <v>231.19626666666667</v>
      </c>
    </row>
    <row r="89" spans="1:25" ht="15" customHeight="1">
      <c r="A89" s="14">
        <f aca="true" t="shared" si="34" ref="A89:A95">A88-1</f>
        <v>-63</v>
      </c>
      <c r="B89" s="67" t="str">
        <f>"   Change"</f>
        <v>   Change</v>
      </c>
      <c r="C89" s="49"/>
      <c r="D89" s="49"/>
      <c r="E89" s="22"/>
      <c r="F89" s="21">
        <v>8.849000000000004</v>
      </c>
      <c r="G89" s="21">
        <v>-0.21299999999999386</v>
      </c>
      <c r="H89" s="21">
        <v>-4.106000000000009</v>
      </c>
      <c r="I89" s="21">
        <v>3.2150000000000176</v>
      </c>
      <c r="J89" s="21">
        <v>5.687999999999974</v>
      </c>
      <c r="K89" s="21">
        <v>8.881000000000029</v>
      </c>
      <c r="L89" s="21">
        <v>15.551999999999992</v>
      </c>
      <c r="M89" s="21">
        <v>1.3549999999999898</v>
      </c>
      <c r="N89" s="21">
        <v>12.14</v>
      </c>
      <c r="O89" s="21">
        <v>36.25500000000005</v>
      </c>
      <c r="P89" s="21">
        <v>42.335999999999984</v>
      </c>
      <c r="Q89" s="21">
        <v>73.165</v>
      </c>
      <c r="R89" s="21">
        <v>97.06399999999996</v>
      </c>
      <c r="S89" s="21">
        <v>160.84699999999998</v>
      </c>
      <c r="T89" s="21">
        <v>88.8420000000001</v>
      </c>
      <c r="U89" s="21">
        <v>64.08799999999997</v>
      </c>
      <c r="V89" s="21"/>
      <c r="W89" s="22">
        <f t="shared" si="31"/>
        <v>8.761600000000001</v>
      </c>
      <c r="X89" s="23">
        <f t="shared" si="32"/>
        <v>92.4508</v>
      </c>
      <c r="Y89" s="24">
        <f t="shared" si="33"/>
        <v>36.65800000000001</v>
      </c>
    </row>
    <row r="90" spans="1:25" ht="15" customHeight="1">
      <c r="A90" s="14">
        <f t="shared" si="34"/>
        <v>-64</v>
      </c>
      <c r="B90" s="67" t="str">
        <f>"   + HE repayment from EE [{("&amp;-1*A88&amp;")/("&amp;-1*A69&amp;")}{t-1}*("&amp;-1*A17&amp;")+("&amp;-1*A89&amp;")]&lt;1&gt;"</f>
        <v>   + HE repayment from EE [{(62)/(45)}{t-1}*(10)+(63)]&lt;1&gt;</v>
      </c>
      <c r="C90" s="54"/>
      <c r="D90" s="54"/>
      <c r="E90" s="22"/>
      <c r="F90" s="21">
        <v>17.000297024394456</v>
      </c>
      <c r="G90" s="21">
        <v>9.467596817952948</v>
      </c>
      <c r="H90" s="21">
        <v>6.608334179689271</v>
      </c>
      <c r="I90" s="21">
        <v>15.354637573645615</v>
      </c>
      <c r="J90" s="21">
        <v>14.809256438568864</v>
      </c>
      <c r="K90" s="21">
        <v>22.22969421033789</v>
      </c>
      <c r="L90" s="21">
        <v>29.229013704850637</v>
      </c>
      <c r="M90" s="21">
        <v>20.611541151174745</v>
      </c>
      <c r="N90" s="21">
        <v>36.818698078129444</v>
      </c>
      <c r="O90" s="21">
        <v>66.02260691480177</v>
      </c>
      <c r="P90" s="21">
        <v>79.27176713825574</v>
      </c>
      <c r="Q90" s="21">
        <v>116.50741301615696</v>
      </c>
      <c r="R90" s="21">
        <v>159.71283872080045</v>
      </c>
      <c r="S90" s="21">
        <v>263.73434616690156</v>
      </c>
      <c r="T90" s="21">
        <v>225.05557458993084</v>
      </c>
      <c r="U90" s="21">
        <v>184.56820984417072</v>
      </c>
      <c r="V90" s="21"/>
      <c r="W90" s="29">
        <f t="shared" si="31"/>
        <v>23.815167609354567</v>
      </c>
      <c r="X90" s="30">
        <f t="shared" si="32"/>
        <v>168.85638792640913</v>
      </c>
      <c r="Y90" s="31">
        <f t="shared" si="33"/>
        <v>72.16224104837275</v>
      </c>
    </row>
    <row r="91" spans="1:25" ht="15" customHeight="1">
      <c r="A91" s="68">
        <f t="shared" si="34"/>
        <v>-65</v>
      </c>
      <c r="B91" s="69" t="str">
        <f>"           Transactions costs [("&amp;A111*-1&amp;")*("&amp;-1*A90&amp;")]"</f>
        <v>           Transactions costs [(79)*(64)]</v>
      </c>
      <c r="C91" s="70"/>
      <c r="D91" s="74"/>
      <c r="E91" s="21"/>
      <c r="F91" s="21">
        <v>0.2868226438199147</v>
      </c>
      <c r="G91" s="21">
        <v>0.14919925857338007</v>
      </c>
      <c r="H91" s="21">
        <v>0.09749163078278143</v>
      </c>
      <c r="I91" s="21">
        <v>0.2052482583310291</v>
      </c>
      <c r="J91" s="21">
        <v>0.18226818868209943</v>
      </c>
      <c r="K91" s="21">
        <v>0.24426735006880357</v>
      </c>
      <c r="L91" s="21">
        <v>0.28970173605048705</v>
      </c>
      <c r="M91" s="21">
        <v>0.18038272974107059</v>
      </c>
      <c r="N91" s="21">
        <v>0.2991086349649596</v>
      </c>
      <c r="O91" s="21">
        <v>0.5079743084149705</v>
      </c>
      <c r="P91" s="21">
        <v>0.5692260111565268</v>
      </c>
      <c r="Q91" s="21">
        <v>0.7832784002657232</v>
      </c>
      <c r="R91" s="21">
        <v>0.9921795370823123</v>
      </c>
      <c r="S91" s="21">
        <v>1.5247260474826756</v>
      </c>
      <c r="T91" s="21">
        <v>1.282816775162606</v>
      </c>
      <c r="U91" s="21">
        <v>1.0520387961117732</v>
      </c>
      <c r="V91" s="21"/>
      <c r="W91" s="22">
        <f t="shared" si="31"/>
        <v>0.2442464739429496</v>
      </c>
      <c r="X91" s="23">
        <f t="shared" si="32"/>
        <v>1.0304453542299687</v>
      </c>
      <c r="Y91" s="24">
        <f t="shared" si="33"/>
        <v>0.506312767371956</v>
      </c>
    </row>
    <row r="92" spans="1:25" ht="15" customHeight="1">
      <c r="A92" s="14">
        <f t="shared" si="34"/>
        <v>-66</v>
      </c>
      <c r="B92" s="33" t="str">
        <f>"           Repayment of non-mortgage debt [("&amp;A104*-1&amp;")*{("&amp;-1*A90&amp;")-("&amp;-1*A91&amp;")}]"</f>
        <v>           Repayment of non-mortgage debt [(74)*{(64)-(65)}]</v>
      </c>
      <c r="C92" s="15"/>
      <c r="D92" s="72"/>
      <c r="E92" s="21"/>
      <c r="F92" s="21">
        <v>3.5476714487068604</v>
      </c>
      <c r="G92" s="21">
        <v>1.97796174609472</v>
      </c>
      <c r="H92" s="21">
        <v>1.3820184655697738</v>
      </c>
      <c r="I92" s="21">
        <v>3.215672260326209</v>
      </c>
      <c r="J92" s="21">
        <v>3.145109119181627</v>
      </c>
      <c r="K92" s="21">
        <v>4.787937405125268</v>
      </c>
      <c r="L92" s="21">
        <v>6.302339050983145</v>
      </c>
      <c r="M92" s="21">
        <v>4.4494522784455555</v>
      </c>
      <c r="N92" s="21">
        <v>7.9531550342891535</v>
      </c>
      <c r="O92" s="21">
        <v>14.187829096483537</v>
      </c>
      <c r="P92" s="21">
        <v>16.947932671818716</v>
      </c>
      <c r="Q92" s="21">
        <v>24.779261424054592</v>
      </c>
      <c r="R92" s="21">
        <v>33.792495176205364</v>
      </c>
      <c r="S92" s="21">
        <v>55.82586015336466</v>
      </c>
      <c r="T92" s="21">
        <v>47.369869331312316</v>
      </c>
      <c r="U92" s="21">
        <v>38.62452064669347</v>
      </c>
      <c r="V92" s="21"/>
      <c r="W92" s="22">
        <f t="shared" si="31"/>
        <v>5.094914590520584</v>
      </c>
      <c r="X92" s="23">
        <f t="shared" si="32"/>
        <v>35.74308375135113</v>
      </c>
      <c r="Y92" s="24">
        <f t="shared" si="33"/>
        <v>15.3109709774641</v>
      </c>
    </row>
    <row r="93" spans="1:25" ht="15" customHeight="1">
      <c r="A93" s="14">
        <f t="shared" si="34"/>
        <v>-67</v>
      </c>
      <c r="B93" s="33" t="str">
        <f>"           Home improvements [("&amp;A105*-1&amp;")*{("&amp;-1*A90&amp;")-("&amp;-1*A91&amp;")}]"</f>
        <v>           Home improvements [(75)*{(64)-(65)}]</v>
      </c>
      <c r="C93" s="15"/>
      <c r="D93" s="72"/>
      <c r="E93" s="21"/>
      <c r="F93" s="21">
        <v>5.045577171494201</v>
      </c>
      <c r="G93" s="21">
        <v>2.8131011500013794</v>
      </c>
      <c r="H93" s="21">
        <v>1.9655373732547892</v>
      </c>
      <c r="I93" s="21">
        <v>4.573400548019497</v>
      </c>
      <c r="J93" s="21">
        <v>4.450652147984414</v>
      </c>
      <c r="K93" s="21">
        <v>6.742197570482519</v>
      </c>
      <c r="L93" s="21">
        <v>8.874722337098714</v>
      </c>
      <c r="M93" s="21">
        <v>6.265555249239661</v>
      </c>
      <c r="N93" s="21">
        <v>11.19934076257044</v>
      </c>
      <c r="O93" s="21">
        <v>19.978779748109474</v>
      </c>
      <c r="P93" s="21">
        <v>23.865456211336564</v>
      </c>
      <c r="Q93" s="21">
        <v>34.893245678770754</v>
      </c>
      <c r="R93" s="21">
        <v>47.58535035016674</v>
      </c>
      <c r="S93" s="21">
        <v>78.61192552208493</v>
      </c>
      <c r="T93" s="21">
        <v>66.70450987470511</v>
      </c>
      <c r="U93" s="21">
        <v>54.389631114731614</v>
      </c>
      <c r="V93" s="21"/>
      <c r="W93" s="22">
        <f t="shared" si="31"/>
        <v>7.190886405825507</v>
      </c>
      <c r="X93" s="23">
        <f t="shared" si="32"/>
        <v>50.33209752741282</v>
      </c>
      <c r="Y93" s="24">
        <f t="shared" si="33"/>
        <v>21.571290113021277</v>
      </c>
    </row>
    <row r="94" spans="1:25" ht="15" customHeight="1">
      <c r="A94" s="14">
        <f t="shared" si="34"/>
        <v>-68</v>
      </c>
      <c r="B94" s="33" t="str">
        <f>"           PCE [("&amp;A106*-1&amp;")*{("&amp;-1*A90&amp;")-("&amp;-1*A91&amp;")}]"</f>
        <v>           PCE [(76)*{(64)-(65)}]</v>
      </c>
      <c r="C94" s="15"/>
      <c r="D94" s="72"/>
      <c r="E94" s="21"/>
      <c r="F94" s="21">
        <v>4.966740028189604</v>
      </c>
      <c r="G94" s="21">
        <v>2.7691464445326077</v>
      </c>
      <c r="H94" s="21">
        <v>1.9348258517976833</v>
      </c>
      <c r="I94" s="21">
        <v>4.501941164456692</v>
      </c>
      <c r="J94" s="21">
        <v>4.773703135851409</v>
      </c>
      <c r="K94" s="21">
        <v>7.817040661429008</v>
      </c>
      <c r="L94" s="21">
        <v>10.289533144462274</v>
      </c>
      <c r="M94" s="21">
        <v>7.264411883176416</v>
      </c>
      <c r="N94" s="21">
        <v>12.984742913125146</v>
      </c>
      <c r="O94" s="21">
        <v>23.16173880023775</v>
      </c>
      <c r="P94" s="21">
        <v>27.665135668919724</v>
      </c>
      <c r="Q94" s="21">
        <v>40.44500058292764</v>
      </c>
      <c r="R94" s="21">
        <v>55.15142096888792</v>
      </c>
      <c r="S94" s="21">
        <v>91.11122153644453</v>
      </c>
      <c r="T94" s="21">
        <v>77.30331633601084</v>
      </c>
      <c r="U94" s="21">
        <v>63.02575571347478</v>
      </c>
      <c r="V94" s="21"/>
      <c r="W94" s="22">
        <f t="shared" si="31"/>
        <v>8.04638240272586</v>
      </c>
      <c r="X94" s="23">
        <f t="shared" si="32"/>
        <v>58.335219018638135</v>
      </c>
      <c r="Y94" s="24">
        <f t="shared" si="33"/>
        <v>24.809327941363282</v>
      </c>
    </row>
    <row r="95" spans="1:25" ht="15" customHeight="1">
      <c r="A95" s="14">
        <f t="shared" si="34"/>
        <v>-69</v>
      </c>
      <c r="B95" s="33" t="str">
        <f>"           Real estate and business expenses [("&amp;A107*-1&amp;")*{("&amp;-1*A90&amp;")-("&amp;-1*A91&amp;")}]"</f>
        <v>           Real estate and business expenses [(77)*{(64)-(65)}]</v>
      </c>
      <c r="C95" s="15"/>
      <c r="D95" s="75"/>
      <c r="E95" s="21"/>
      <c r="F95" s="21">
        <v>3.153485732183878</v>
      </c>
      <c r="G95" s="21">
        <v>1.7581882187508633</v>
      </c>
      <c r="H95" s="21">
        <v>1.228460858284244</v>
      </c>
      <c r="I95" s="21">
        <v>2.8583753425121876</v>
      </c>
      <c r="J95" s="21">
        <v>2.257523846869317</v>
      </c>
      <c r="K95" s="21">
        <v>2.63825122323229</v>
      </c>
      <c r="L95" s="21">
        <v>3.4727174362560183</v>
      </c>
      <c r="M95" s="21">
        <v>2.451739010572041</v>
      </c>
      <c r="N95" s="21">
        <v>4.382350733179737</v>
      </c>
      <c r="O95" s="21">
        <v>8.18932907579835</v>
      </c>
      <c r="P95" s="21">
        <v>10.231330346522899</v>
      </c>
      <c r="Q95" s="21">
        <v>15.62275817314532</v>
      </c>
      <c r="R95" s="21">
        <v>22.22089228572054</v>
      </c>
      <c r="S95" s="21">
        <v>36.70934681671864</v>
      </c>
      <c r="T95" s="21">
        <v>32.447049883141396</v>
      </c>
      <c r="U95" s="21">
        <v>27.527425657208838</v>
      </c>
      <c r="V95" s="21"/>
      <c r="W95" s="22">
        <f t="shared" si="31"/>
        <v>3.239042147763892</v>
      </c>
      <c r="X95" s="23">
        <f t="shared" si="32"/>
        <v>23.44627550104976</v>
      </c>
      <c r="Y95" s="24">
        <f t="shared" si="33"/>
        <v>9.97478659885918</v>
      </c>
    </row>
    <row r="96" spans="1:25" s="59" customFormat="1" ht="15" customHeight="1">
      <c r="A96" s="73"/>
      <c r="C96" s="49"/>
      <c r="D96" s="72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22"/>
      <c r="W96" s="22"/>
      <c r="X96" s="23"/>
      <c r="Y96" s="66"/>
    </row>
    <row r="97" spans="1:25" s="59" customFormat="1" ht="15" customHeight="1">
      <c r="A97" s="73"/>
      <c r="C97" s="49"/>
      <c r="D97" s="72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22"/>
      <c r="U97" s="22"/>
      <c r="V97" s="22"/>
      <c r="W97" s="22"/>
      <c r="X97" s="23"/>
      <c r="Y97" s="66"/>
    </row>
    <row r="98" spans="1:25" s="59" customFormat="1" ht="15" customHeight="1">
      <c r="A98" s="73"/>
      <c r="B98" s="26" t="s">
        <v>22</v>
      </c>
      <c r="C98" s="49"/>
      <c r="D98" s="72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22"/>
      <c r="U98" s="22"/>
      <c r="V98" s="22"/>
      <c r="W98" s="22"/>
      <c r="X98" s="23"/>
      <c r="Y98" s="66"/>
    </row>
    <row r="99" spans="1:25" s="59" customFormat="1" ht="15" customHeight="1">
      <c r="A99" s="73">
        <f>A95-1</f>
        <v>-70</v>
      </c>
      <c r="B99" s="33" t="s">
        <v>23</v>
      </c>
      <c r="C99" s="49"/>
      <c r="D99" s="72"/>
      <c r="E99" s="76">
        <v>0.09448818897637797</v>
      </c>
      <c r="F99" s="76">
        <v>0.5354330708661417</v>
      </c>
      <c r="G99" s="76">
        <v>0.5354330708661417</v>
      </c>
      <c r="H99" s="76">
        <v>0.5354330708661417</v>
      </c>
      <c r="I99" s="76">
        <v>0.5354330708661417</v>
      </c>
      <c r="J99" s="76">
        <v>0.4987771414936769</v>
      </c>
      <c r="K99" s="76">
        <v>0.4621212121212121</v>
      </c>
      <c r="L99" s="76">
        <v>0.4621212121212121</v>
      </c>
      <c r="M99" s="76">
        <v>0.4621212121212121</v>
      </c>
      <c r="N99" s="76">
        <v>0.4621212121212121</v>
      </c>
      <c r="O99" s="76">
        <v>0.4549152542372881</v>
      </c>
      <c r="P99" s="76">
        <v>0.4497457627118644</v>
      </c>
      <c r="Q99" s="76">
        <v>0.4445762711864406</v>
      </c>
      <c r="R99" s="76">
        <v>0.43423728813559315</v>
      </c>
      <c r="S99" s="76">
        <v>0.43423728813559315</v>
      </c>
      <c r="T99" s="76">
        <v>0.4290677966101694</v>
      </c>
      <c r="U99" s="76">
        <v>0.4290677966101694</v>
      </c>
      <c r="V99" s="22"/>
      <c r="W99" s="35">
        <f>AVERAGE(F99:O99)</f>
        <v>0.4943909527680379</v>
      </c>
      <c r="X99" s="36">
        <f>AVERAGE(P99:T99)</f>
        <v>0.4383728813559321</v>
      </c>
      <c r="Y99" s="77">
        <f>AVERAGE(F99:T99)</f>
        <v>0.47571826229733605</v>
      </c>
    </row>
    <row r="100" spans="1:25" s="59" customFormat="1" ht="15" customHeight="1">
      <c r="A100" s="73">
        <f>A99-1</f>
        <v>-71</v>
      </c>
      <c r="B100" s="33" t="s">
        <v>24</v>
      </c>
      <c r="C100" s="49"/>
      <c r="D100" s="72"/>
      <c r="E100" s="76">
        <v>0.5354330708661417</v>
      </c>
      <c r="F100" s="76">
        <v>0.2992125984251969</v>
      </c>
      <c r="G100" s="76">
        <v>0.2992125984251969</v>
      </c>
      <c r="H100" s="76">
        <v>0.2992125984251969</v>
      </c>
      <c r="I100" s="76">
        <v>0.2992125984251969</v>
      </c>
      <c r="J100" s="76">
        <v>0.3200608446671439</v>
      </c>
      <c r="K100" s="76">
        <v>0.34090909090909094</v>
      </c>
      <c r="L100" s="76">
        <v>0.34090909090909094</v>
      </c>
      <c r="M100" s="76">
        <v>0.34090909090909094</v>
      </c>
      <c r="N100" s="76">
        <v>0.34090909090909094</v>
      </c>
      <c r="O100" s="76">
        <v>0.33559322033898303</v>
      </c>
      <c r="P100" s="76">
        <v>0.33177966101694917</v>
      </c>
      <c r="Q100" s="76">
        <v>0.32796610169491525</v>
      </c>
      <c r="R100" s="76">
        <v>0.32033898305084746</v>
      </c>
      <c r="S100" s="76">
        <v>0.32033898305084746</v>
      </c>
      <c r="T100" s="76">
        <v>0.31652542372881354</v>
      </c>
      <c r="U100" s="76">
        <v>0.31652542372881354</v>
      </c>
      <c r="V100" s="22"/>
      <c r="W100" s="35">
        <f>AVERAGE(F100:O100)</f>
        <v>0.32161408223432775</v>
      </c>
      <c r="X100" s="36">
        <f>AVERAGE(P100:T100)</f>
        <v>0.32338983050847453</v>
      </c>
      <c r="Y100" s="77">
        <f>AVERAGE(F100:T100)</f>
        <v>0.32220599832571006</v>
      </c>
    </row>
    <row r="101" spans="1:25" s="59" customFormat="1" ht="15" customHeight="1">
      <c r="A101" s="73">
        <f>A100-1</f>
        <v>-72</v>
      </c>
      <c r="B101" s="33" t="s">
        <v>25</v>
      </c>
      <c r="C101" s="49"/>
      <c r="D101" s="72"/>
      <c r="E101" s="76">
        <v>0.07086614173228341</v>
      </c>
      <c r="F101" s="76">
        <v>0.09448818897637797</v>
      </c>
      <c r="G101" s="76">
        <v>0.09448818897637797</v>
      </c>
      <c r="H101" s="76">
        <v>0.09448818897637797</v>
      </c>
      <c r="I101" s="76">
        <v>0.09448818897637797</v>
      </c>
      <c r="J101" s="76">
        <v>0.09269863994273443</v>
      </c>
      <c r="K101" s="76">
        <v>0.0909090909090909</v>
      </c>
      <c r="L101" s="76">
        <v>0.09090909090909093</v>
      </c>
      <c r="M101" s="76">
        <v>0.09090909090909093</v>
      </c>
      <c r="N101" s="76">
        <v>0.09090909090909093</v>
      </c>
      <c r="O101" s="76">
        <v>0.0894915254237288</v>
      </c>
      <c r="P101" s="76">
        <v>0.08847457627118643</v>
      </c>
      <c r="Q101" s="76">
        <v>0.08745762711864406</v>
      </c>
      <c r="R101" s="76">
        <v>0.08542372881355932</v>
      </c>
      <c r="S101" s="76">
        <v>0.08542372881355932</v>
      </c>
      <c r="T101" s="76">
        <v>0.08440677966101695</v>
      </c>
      <c r="U101" s="76">
        <v>0.08440677966101695</v>
      </c>
      <c r="V101" s="22"/>
      <c r="W101" s="35">
        <f>AVERAGE(F101:O101)</f>
        <v>0.09237792849083389</v>
      </c>
      <c r="X101" s="36">
        <f>AVERAGE(P101:T101)</f>
        <v>0.08623728813559321</v>
      </c>
      <c r="Y101" s="77">
        <f>AVERAGE(F101:T101)</f>
        <v>0.09033104837242031</v>
      </c>
    </row>
    <row r="102" spans="1:25" s="59" customFormat="1" ht="15" customHeight="1">
      <c r="A102" s="73">
        <f>A101-1</f>
        <v>-73</v>
      </c>
      <c r="B102" s="33" t="s">
        <v>26</v>
      </c>
      <c r="C102" s="49"/>
      <c r="D102" s="72"/>
      <c r="E102" s="76">
        <v>0.2992125984251969</v>
      </c>
      <c r="F102" s="76">
        <v>0.07086614173228341</v>
      </c>
      <c r="G102" s="76">
        <v>0.07086614173228341</v>
      </c>
      <c r="H102" s="76">
        <v>0.07086614173228341</v>
      </c>
      <c r="I102" s="76">
        <v>0.07086614173228341</v>
      </c>
      <c r="J102" s="76">
        <v>0.08846337389644468</v>
      </c>
      <c r="K102" s="76">
        <v>0.10606060606060595</v>
      </c>
      <c r="L102" s="76">
        <v>0.10606060606060595</v>
      </c>
      <c r="M102" s="76">
        <v>0.10606060606060595</v>
      </c>
      <c r="N102" s="76">
        <v>0.10606060606060595</v>
      </c>
      <c r="O102" s="76">
        <v>0.12</v>
      </c>
      <c r="P102" s="76">
        <v>0.13</v>
      </c>
      <c r="Q102" s="76">
        <v>0.14</v>
      </c>
      <c r="R102" s="76">
        <v>0.16</v>
      </c>
      <c r="S102" s="76">
        <v>0.16</v>
      </c>
      <c r="T102" s="76">
        <v>0.17</v>
      </c>
      <c r="U102" s="76">
        <v>0.17</v>
      </c>
      <c r="V102" s="22"/>
      <c r="W102" s="35">
        <f>AVERAGE(F102:O102)</f>
        <v>0.09161703650680023</v>
      </c>
      <c r="X102" s="36">
        <f>AVERAGE(P102:T102)</f>
        <v>0.15200000000000002</v>
      </c>
      <c r="Y102" s="77">
        <f>AVERAGE(F102:T102)</f>
        <v>0.11174469100453346</v>
      </c>
    </row>
    <row r="103" spans="1:25" s="59" customFormat="1" ht="15" customHeight="1">
      <c r="A103" s="73"/>
      <c r="B103" s="26" t="s">
        <v>27</v>
      </c>
      <c r="C103" s="49"/>
      <c r="D103" s="72"/>
      <c r="E103" s="65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22"/>
      <c r="W103" s="22"/>
      <c r="X103" s="23"/>
      <c r="Y103" s="66"/>
    </row>
    <row r="104" spans="1:25" s="59" customFormat="1" ht="15" customHeight="1">
      <c r="A104" s="73">
        <f>A102-1</f>
        <v>-74</v>
      </c>
      <c r="B104" s="33" t="s">
        <v>23</v>
      </c>
      <c r="C104" s="49"/>
      <c r="D104" s="72"/>
      <c r="E104" s="76">
        <v>0.2971698113207547</v>
      </c>
      <c r="F104" s="76">
        <v>0.21226415094339623</v>
      </c>
      <c r="G104" s="76">
        <v>0.21226415094339623</v>
      </c>
      <c r="H104" s="76">
        <v>0.21226415094339623</v>
      </c>
      <c r="I104" s="76">
        <v>0.21226415094339623</v>
      </c>
      <c r="J104" s="76">
        <v>0.215020964360587</v>
      </c>
      <c r="K104" s="76">
        <v>0.2177777777777778</v>
      </c>
      <c r="L104" s="76">
        <v>0.2177777777777778</v>
      </c>
      <c r="M104" s="76">
        <v>0.2177777777777778</v>
      </c>
      <c r="N104" s="76">
        <v>0.2177777777777778</v>
      </c>
      <c r="O104" s="76">
        <v>0.21655969868173258</v>
      </c>
      <c r="P104" s="76">
        <v>0.2153416195856874</v>
      </c>
      <c r="Q104" s="76">
        <v>0.2141235404896422</v>
      </c>
      <c r="R104" s="76">
        <v>0.21290546139359698</v>
      </c>
      <c r="S104" s="76">
        <v>0.21290546139359698</v>
      </c>
      <c r="T104" s="76">
        <v>0.21168738229755182</v>
      </c>
      <c r="U104" s="76">
        <v>0.2104693032015066</v>
      </c>
      <c r="V104" s="22"/>
      <c r="W104" s="35">
        <f>AVERAGE(F104:O104)</f>
        <v>0.21517483779270158</v>
      </c>
      <c r="X104" s="36">
        <f>AVERAGE(P104:T104)</f>
        <v>0.21339269303201508</v>
      </c>
      <c r="Y104" s="77">
        <f>AVERAGE(F104:T104)</f>
        <v>0.21458078953913937</v>
      </c>
    </row>
    <row r="105" spans="1:25" s="59" customFormat="1" ht="15" customHeight="1">
      <c r="A105" s="73">
        <f>A104-1</f>
        <v>-75</v>
      </c>
      <c r="B105" s="33" t="s">
        <v>24</v>
      </c>
      <c r="C105" s="49"/>
      <c r="D105" s="72"/>
      <c r="E105" s="76">
        <v>0.21226415094339623</v>
      </c>
      <c r="F105" s="76">
        <v>0.3018867924528302</v>
      </c>
      <c r="G105" s="76">
        <v>0.3018867924528302</v>
      </c>
      <c r="H105" s="76">
        <v>0.3018867924528302</v>
      </c>
      <c r="I105" s="76">
        <v>0.3018867924528302</v>
      </c>
      <c r="J105" s="76">
        <v>0.30427672955974844</v>
      </c>
      <c r="K105" s="76">
        <v>0.30666666666666664</v>
      </c>
      <c r="L105" s="76">
        <v>0.3066666666666667</v>
      </c>
      <c r="M105" s="76">
        <v>0.3066666666666667</v>
      </c>
      <c r="N105" s="76">
        <v>0.3066666666666667</v>
      </c>
      <c r="O105" s="76">
        <v>0.30495141242937857</v>
      </c>
      <c r="P105" s="76">
        <v>0.30323615819209043</v>
      </c>
      <c r="Q105" s="76">
        <v>0.30152090395480224</v>
      </c>
      <c r="R105" s="76">
        <v>0.2998056497175141</v>
      </c>
      <c r="S105" s="76">
        <v>0.2998056497175141</v>
      </c>
      <c r="T105" s="76">
        <v>0.29809039548022603</v>
      </c>
      <c r="U105" s="76">
        <v>0.2963751412429379</v>
      </c>
      <c r="V105" s="22"/>
      <c r="W105" s="35">
        <f>AVERAGE(F105:O105)</f>
        <v>0.30434419784671146</v>
      </c>
      <c r="X105" s="36">
        <f>AVERAGE(P105:T105)</f>
        <v>0.3004917514124294</v>
      </c>
      <c r="Y105" s="77">
        <f>AVERAGE(F105:T105)</f>
        <v>0.30306004903528405</v>
      </c>
    </row>
    <row r="106" spans="1:25" s="59" customFormat="1" ht="15" customHeight="1">
      <c r="A106" s="73">
        <f>A105-1</f>
        <v>-76</v>
      </c>
      <c r="B106" s="33" t="s">
        <v>25</v>
      </c>
      <c r="C106" s="49"/>
      <c r="D106" s="72"/>
      <c r="E106" s="76">
        <v>0.21226415094339623</v>
      </c>
      <c r="F106" s="76">
        <v>0.2971698113207547</v>
      </c>
      <c r="G106" s="76">
        <v>0.2971698113207547</v>
      </c>
      <c r="H106" s="76">
        <v>0.2971698113207547</v>
      </c>
      <c r="I106" s="76">
        <v>0.2971698113207547</v>
      </c>
      <c r="J106" s="76">
        <v>0.3263626834381551</v>
      </c>
      <c r="K106" s="76">
        <v>0.3555555555555555</v>
      </c>
      <c r="L106" s="76">
        <v>0.3555555555555555</v>
      </c>
      <c r="M106" s="76">
        <v>0.3555555555555555</v>
      </c>
      <c r="N106" s="76">
        <v>0.3555555555555555</v>
      </c>
      <c r="O106" s="76">
        <v>0.3535353535353535</v>
      </c>
      <c r="P106" s="76">
        <v>0.3515151515151515</v>
      </c>
      <c r="Q106" s="76">
        <v>0.3494949494949494</v>
      </c>
      <c r="R106" s="76">
        <v>0.34747474747474744</v>
      </c>
      <c r="S106" s="76">
        <v>0.34747474747474744</v>
      </c>
      <c r="T106" s="76">
        <v>0.3454545454545454</v>
      </c>
      <c r="U106" s="76">
        <v>0.34343434343434337</v>
      </c>
      <c r="V106" s="22"/>
      <c r="W106" s="35">
        <f>AVERAGE(F106:O106)</f>
        <v>0.32907995044787497</v>
      </c>
      <c r="X106" s="36">
        <f>AVERAGE(P106:T106)</f>
        <v>0.34828282828282825</v>
      </c>
      <c r="Y106" s="77">
        <f>AVERAGE(F106:T106)</f>
        <v>0.3354809097261927</v>
      </c>
    </row>
    <row r="107" spans="1:25" s="59" customFormat="1" ht="15" customHeight="1">
      <c r="A107" s="73">
        <f>A106-1</f>
        <v>-77</v>
      </c>
      <c r="B107" s="33" t="s">
        <v>26</v>
      </c>
      <c r="C107" s="49"/>
      <c r="D107" s="72"/>
      <c r="E107" s="76">
        <v>0.3018867924528302</v>
      </c>
      <c r="F107" s="76">
        <v>0.188679245283019</v>
      </c>
      <c r="G107" s="76">
        <v>0.188679245283019</v>
      </c>
      <c r="H107" s="76">
        <v>0.188679245283019</v>
      </c>
      <c r="I107" s="76">
        <v>0.188679245283019</v>
      </c>
      <c r="J107" s="76">
        <v>0.1543396226415095</v>
      </c>
      <c r="K107" s="76">
        <v>0.12</v>
      </c>
      <c r="L107" s="76">
        <v>0.12</v>
      </c>
      <c r="M107" s="76">
        <v>0.12</v>
      </c>
      <c r="N107" s="76">
        <v>0.12</v>
      </c>
      <c r="O107" s="76">
        <v>0.125</v>
      </c>
      <c r="P107" s="76">
        <v>0.13</v>
      </c>
      <c r="Q107" s="76">
        <v>0.135</v>
      </c>
      <c r="R107" s="76">
        <v>0.14</v>
      </c>
      <c r="S107" s="76">
        <v>0.14</v>
      </c>
      <c r="T107" s="76">
        <v>0.145</v>
      </c>
      <c r="U107" s="76">
        <v>0.15</v>
      </c>
      <c r="V107" s="22"/>
      <c r="W107" s="35">
        <f>AVERAGE(F107:O107)</f>
        <v>0.1514056603773586</v>
      </c>
      <c r="X107" s="36">
        <f>AVERAGE(P107:T107)</f>
        <v>0.138</v>
      </c>
      <c r="Y107" s="77">
        <f>AVERAGE(F107:T107)</f>
        <v>0.14693710691823905</v>
      </c>
    </row>
    <row r="108" spans="1:25" s="59" customFormat="1" ht="15" customHeight="1">
      <c r="A108" s="73"/>
      <c r="B108" s="33"/>
      <c r="C108" s="49"/>
      <c r="D108" s="72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22"/>
      <c r="W108" s="22"/>
      <c r="X108" s="23"/>
      <c r="Y108" s="66"/>
    </row>
    <row r="109" spans="1:25" ht="15" customHeight="1">
      <c r="A109" s="14"/>
      <c r="B109" s="13" t="s">
        <v>28</v>
      </c>
      <c r="C109" s="15"/>
      <c r="G109" s="33"/>
      <c r="K109" s="40"/>
      <c r="L109" s="40"/>
      <c r="M109" s="40"/>
      <c r="N109" s="40"/>
      <c r="O109" s="36"/>
      <c r="P109" s="78"/>
      <c r="Q109" s="79"/>
      <c r="R109" s="79"/>
      <c r="S109" s="35"/>
      <c r="T109" s="36"/>
      <c r="U109" s="36"/>
      <c r="V109" s="78"/>
      <c r="W109" s="79"/>
      <c r="X109" s="49"/>
      <c r="Y109" s="49"/>
    </row>
    <row r="110" spans="1:25" ht="15" customHeight="1">
      <c r="A110" s="14">
        <f>A107-1</f>
        <v>-78</v>
      </c>
      <c r="B110" s="49" t="s">
        <v>29</v>
      </c>
      <c r="C110" s="15"/>
      <c r="E110" s="80"/>
      <c r="F110" s="34">
        <v>0.011025</v>
      </c>
      <c r="G110" s="34">
        <v>0.010097727272727272</v>
      </c>
      <c r="H110" s="34">
        <v>0.009170454545454544</v>
      </c>
      <c r="I110" s="34">
        <v>0.008243181818181816</v>
      </c>
      <c r="J110" s="34">
        <v>0.007330113636363635</v>
      </c>
      <c r="K110" s="34">
        <v>0.0065875000000000005</v>
      </c>
      <c r="L110" s="34">
        <v>0.005887500000000001</v>
      </c>
      <c r="M110" s="34">
        <v>0.005220833333333335</v>
      </c>
      <c r="N110" s="34">
        <v>0.004954166666666668</v>
      </c>
      <c r="O110" s="34">
        <v>0.004787500000000003</v>
      </c>
      <c r="P110" s="34">
        <v>0.004620833333333337</v>
      </c>
      <c r="Q110" s="34">
        <v>0.004454166666666671</v>
      </c>
      <c r="R110" s="34">
        <v>0.004287500000000006</v>
      </c>
      <c r="S110" s="34">
        <v>0.004131250000000003</v>
      </c>
      <c r="T110" s="34">
        <v>0.0041</v>
      </c>
      <c r="U110" s="34">
        <v>0.0041</v>
      </c>
      <c r="V110" s="81"/>
      <c r="W110" s="35">
        <f>AVERAGE(F110:O110)</f>
        <v>0.007330397727272728</v>
      </c>
      <c r="X110" s="36">
        <f>AVERAGE(P110:T110)</f>
        <v>0.004318750000000003</v>
      </c>
      <c r="Y110" s="77">
        <f>AVERAGE(F110:T110)</f>
        <v>0.006326515151515153</v>
      </c>
    </row>
    <row r="111" spans="1:25" ht="15" customHeight="1">
      <c r="A111" s="14">
        <f>A110-1</f>
        <v>-79</v>
      </c>
      <c r="B111" s="13" t="s">
        <v>30</v>
      </c>
      <c r="C111" s="15"/>
      <c r="E111" s="80"/>
      <c r="F111" s="34">
        <v>0.016872794117647052</v>
      </c>
      <c r="G111" s="34">
        <v>0.015725735294117634</v>
      </c>
      <c r="H111" s="34">
        <v>0.014578676470588223</v>
      </c>
      <c r="I111" s="34">
        <v>0.013431617647058813</v>
      </c>
      <c r="J111" s="34">
        <v>0.012282475490196072</v>
      </c>
      <c r="K111" s="34">
        <v>0.01110833333333333</v>
      </c>
      <c r="L111" s="34">
        <v>0.009927941176470582</v>
      </c>
      <c r="M111" s="34">
        <v>0.008791115196078426</v>
      </c>
      <c r="N111" s="34">
        <v>0.008177083333333331</v>
      </c>
      <c r="O111" s="34">
        <v>0.0076937499999999975</v>
      </c>
      <c r="P111" s="34">
        <v>0.0072104166666666645</v>
      </c>
      <c r="Q111" s="34">
        <v>0.006727083333333333</v>
      </c>
      <c r="R111" s="34">
        <v>0.00624375</v>
      </c>
      <c r="S111" s="34">
        <v>0.005790625000000001</v>
      </c>
      <c r="T111" s="34">
        <v>0.0057</v>
      </c>
      <c r="U111" s="34">
        <v>0.0057</v>
      </c>
      <c r="V111" s="21"/>
      <c r="W111" s="35">
        <f>AVERAGE(F111:O111)</f>
        <v>0.011858952205882348</v>
      </c>
      <c r="X111" s="36">
        <f>AVERAGE(P111:T111)</f>
        <v>0.006334375000000001</v>
      </c>
      <c r="Y111" s="77">
        <f>AVERAGE(F111:T111)</f>
        <v>0.010017426470588231</v>
      </c>
    </row>
    <row r="112" spans="1:25" ht="15" customHeight="1">
      <c r="A112" s="13"/>
      <c r="B112" s="152" t="s">
        <v>74</v>
      </c>
      <c r="C112" s="151"/>
      <c r="D112" s="151"/>
      <c r="E112" s="80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21"/>
      <c r="W112" s="35"/>
      <c r="X112" s="36"/>
      <c r="Y112" s="77"/>
    </row>
    <row r="113" spans="1:25" ht="15" customHeight="1">
      <c r="A113" s="14"/>
      <c r="B113" s="151"/>
      <c r="C113" s="151"/>
      <c r="D113" s="151"/>
      <c r="E113" s="80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21"/>
      <c r="W113" s="35"/>
      <c r="X113" s="36"/>
      <c r="Y113" s="77"/>
    </row>
    <row r="114" spans="1:25" ht="15" customHeight="1">
      <c r="A114" s="14"/>
      <c r="C114" s="15"/>
      <c r="E114" s="80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21"/>
      <c r="W114" s="35"/>
      <c r="X114" s="36"/>
      <c r="Y114" s="77"/>
    </row>
    <row r="115" spans="1:24" ht="15" customHeight="1">
      <c r="A115" s="14"/>
      <c r="B115" s="33"/>
      <c r="C115" s="15"/>
      <c r="D115" s="15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2"/>
      <c r="X115" s="22"/>
    </row>
    <row r="116" spans="2:24" ht="15" customHeight="1">
      <c r="B116" s="32" t="s">
        <v>31</v>
      </c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37"/>
      <c r="S116" s="37"/>
      <c r="T116" s="37"/>
      <c r="U116" s="37"/>
      <c r="V116" s="82"/>
      <c r="W116" s="83"/>
      <c r="X116" s="84"/>
    </row>
    <row r="117" spans="1:25" ht="15" customHeight="1">
      <c r="A117" s="39">
        <f>A111-1</f>
        <v>-80</v>
      </c>
      <c r="B117" s="59" t="str">
        <f>"Refinance originations"</f>
        <v>Refinance originations</v>
      </c>
      <c r="C117" s="33"/>
      <c r="D117" s="33"/>
      <c r="E117" s="38"/>
      <c r="F117" s="21">
        <v>242.82815663549343</v>
      </c>
      <c r="G117" s="21">
        <v>601.8426224424334</v>
      </c>
      <c r="H117" s="21">
        <v>732.8666007292738</v>
      </c>
      <c r="I117" s="21">
        <v>295.3520054525832</v>
      </c>
      <c r="J117" s="21">
        <v>181.25499165707504</v>
      </c>
      <c r="K117" s="21">
        <v>290.4645106903674</v>
      </c>
      <c r="L117" s="21">
        <v>324.3489595272222</v>
      </c>
      <c r="M117" s="21">
        <v>864.0408207800882</v>
      </c>
      <c r="N117" s="21">
        <v>588.2412662897249</v>
      </c>
      <c r="O117" s="21">
        <v>316.8246186986604</v>
      </c>
      <c r="P117" s="21">
        <v>1363.283329906242</v>
      </c>
      <c r="Q117" s="21">
        <v>1984.4268369763645</v>
      </c>
      <c r="R117" s="21">
        <v>3006.9287586932483</v>
      </c>
      <c r="S117" s="21">
        <v>1590.427624563978</v>
      </c>
      <c r="T117" s="21">
        <v>1582.2926392000013</v>
      </c>
      <c r="U117" s="21">
        <v>1366.81953304</v>
      </c>
      <c r="V117" s="21"/>
      <c r="W117" s="22">
        <f aca="true" t="shared" si="35" ref="W117:W122">AVERAGE(F117:O117)</f>
        <v>443.80645529029215</v>
      </c>
      <c r="X117" s="23">
        <f aca="true" t="shared" si="36" ref="X117:X122">AVERAGE(P117:T117)</f>
        <v>1905.4718378679668</v>
      </c>
      <c r="Y117" s="24">
        <f aca="true" t="shared" si="37" ref="Y117:Y122">AVERAGE(F117:T117)</f>
        <v>931.0282494828502</v>
      </c>
    </row>
    <row r="118" spans="1:25" ht="15" customHeight="1">
      <c r="A118" s="39">
        <f>A117-1</f>
        <v>-81</v>
      </c>
      <c r="B118" s="59" t="s">
        <v>32</v>
      </c>
      <c r="C118" s="33"/>
      <c r="D118" s="33"/>
      <c r="E118" s="38"/>
      <c r="F118" s="21">
        <v>210.1032274003229</v>
      </c>
      <c r="G118" s="21">
        <v>549.8037413615888</v>
      </c>
      <c r="H118" s="21">
        <v>677.4469746934593</v>
      </c>
      <c r="I118" s="21">
        <v>257.2303225738236</v>
      </c>
      <c r="J118" s="21">
        <v>156.84047224547575</v>
      </c>
      <c r="K118" s="21">
        <v>246.79799328121743</v>
      </c>
      <c r="L118" s="21">
        <v>276.9672664727926</v>
      </c>
      <c r="M118" s="21">
        <v>775.216837649466</v>
      </c>
      <c r="N118" s="21">
        <v>495.36600353869767</v>
      </c>
      <c r="O118" s="21">
        <v>236.30500683198767</v>
      </c>
      <c r="P118" s="21">
        <v>1181.7185977498043</v>
      </c>
      <c r="Q118" s="21">
        <v>1761.090381478185</v>
      </c>
      <c r="R118" s="21">
        <v>2724.6921821390015</v>
      </c>
      <c r="S118" s="21">
        <v>1323.7926569966248</v>
      </c>
      <c r="T118" s="21">
        <v>1233.4734166055903</v>
      </c>
      <c r="U118" s="21">
        <v>1065.1180063979673</v>
      </c>
      <c r="V118" s="21"/>
      <c r="W118" s="22">
        <f t="shared" si="35"/>
        <v>388.20778460488316</v>
      </c>
      <c r="X118" s="23">
        <f t="shared" si="36"/>
        <v>1644.9534469938412</v>
      </c>
      <c r="Y118" s="24">
        <f t="shared" si="37"/>
        <v>807.1230054012025</v>
      </c>
    </row>
    <row r="119" spans="1:25" s="32" customFormat="1" ht="15" customHeight="1">
      <c r="A119" s="85">
        <f>A118-1</f>
        <v>-82</v>
      </c>
      <c r="B119" s="86" t="str">
        <f>"   Gross cash out [("&amp;-1*A117&amp;")-("&amp;-1*A118&amp;")]"</f>
        <v>   Gross cash out [(80)-(81)]</v>
      </c>
      <c r="C119" s="86"/>
      <c r="D119" s="86"/>
      <c r="E119" s="87"/>
      <c r="F119" s="28">
        <f aca="true" t="shared" si="38" ref="F119:U119">F117-F118</f>
        <v>32.72492923517052</v>
      </c>
      <c r="G119" s="28">
        <f t="shared" si="38"/>
        <v>52.03888108084459</v>
      </c>
      <c r="H119" s="28">
        <f t="shared" si="38"/>
        <v>55.41962603581453</v>
      </c>
      <c r="I119" s="28">
        <f t="shared" si="38"/>
        <v>38.1216828787596</v>
      </c>
      <c r="J119" s="28">
        <f t="shared" si="38"/>
        <v>24.414519411599287</v>
      </c>
      <c r="K119" s="28">
        <f t="shared" si="38"/>
        <v>43.66651740914995</v>
      </c>
      <c r="L119" s="28">
        <f t="shared" si="38"/>
        <v>47.381693054429604</v>
      </c>
      <c r="M119" s="28">
        <f t="shared" si="38"/>
        <v>88.8239831306222</v>
      </c>
      <c r="N119" s="28">
        <f t="shared" si="38"/>
        <v>92.87526275102721</v>
      </c>
      <c r="O119" s="28">
        <f t="shared" si="38"/>
        <v>80.51961186667273</v>
      </c>
      <c r="P119" s="28">
        <f t="shared" si="38"/>
        <v>181.56473215643769</v>
      </c>
      <c r="Q119" s="28">
        <f t="shared" si="38"/>
        <v>223.33645549817948</v>
      </c>
      <c r="R119" s="28">
        <f t="shared" si="38"/>
        <v>282.23657655424677</v>
      </c>
      <c r="S119" s="28">
        <f t="shared" si="38"/>
        <v>266.6349675673532</v>
      </c>
      <c r="T119" s="28">
        <f t="shared" si="38"/>
        <v>348.81922259441103</v>
      </c>
      <c r="U119" s="28">
        <f t="shared" si="38"/>
        <v>301.7015266420326</v>
      </c>
      <c r="V119" s="28"/>
      <c r="W119" s="29">
        <f t="shared" si="35"/>
        <v>55.598670685409026</v>
      </c>
      <c r="X119" s="30">
        <f t="shared" si="36"/>
        <v>260.51839087412566</v>
      </c>
      <c r="Y119" s="31">
        <f t="shared" si="37"/>
        <v>123.9052440816479</v>
      </c>
    </row>
    <row r="120" spans="1:25" ht="15" customHeight="1">
      <c r="A120" s="88">
        <f>A119-1</f>
        <v>-83</v>
      </c>
      <c r="B120" s="59" t="str">
        <f>"      Closing costs [("&amp;-1*A135&amp;")*("&amp;-1*A117&amp;")]"</f>
        <v>      Closing costs [(94)*(80)]</v>
      </c>
      <c r="C120" s="59"/>
      <c r="D120" s="59"/>
      <c r="E120" s="38"/>
      <c r="F120" s="21">
        <v>6.844740643444084</v>
      </c>
      <c r="G120" s="21">
        <v>16.92141032710956</v>
      </c>
      <c r="H120" s="21">
        <v>17.93075937806045</v>
      </c>
      <c r="I120" s="21">
        <v>6.863448602685018</v>
      </c>
      <c r="J120" s="21">
        <v>3.9606050911767214</v>
      </c>
      <c r="K120" s="21">
        <v>6.409700550022489</v>
      </c>
      <c r="L120" s="21">
        <v>7.21165233726666</v>
      </c>
      <c r="M120" s="21">
        <v>18.149810560491282</v>
      </c>
      <c r="N120" s="21">
        <v>11.745191058237978</v>
      </c>
      <c r="O120" s="21">
        <v>6.0644074998744575</v>
      </c>
      <c r="P120" s="21">
        <v>24.121746753445187</v>
      </c>
      <c r="Q120" s="21">
        <v>33.683261921459454</v>
      </c>
      <c r="R120" s="21">
        <v>48.66445179023597</v>
      </c>
      <c r="S120" s="21">
        <v>26.236236234044377</v>
      </c>
      <c r="T120" s="21">
        <v>25.73039487283202</v>
      </c>
      <c r="U120" s="21">
        <v>22.626736105684</v>
      </c>
      <c r="V120" s="21"/>
      <c r="W120" s="22">
        <f t="shared" si="35"/>
        <v>10.21017260483687</v>
      </c>
      <c r="X120" s="23">
        <f t="shared" si="36"/>
        <v>31.687218314403403</v>
      </c>
      <c r="Y120" s="24">
        <f t="shared" si="37"/>
        <v>17.36918784135905</v>
      </c>
    </row>
    <row r="121" spans="1:25" ht="15" customHeight="1">
      <c r="A121" s="88">
        <f>A120-1</f>
        <v>-84</v>
      </c>
      <c r="B121" s="33" t="str">
        <f>"      Home equity loan repayments [("&amp;-1*A137&amp;")*("&amp;-1*A117&amp;")]"</f>
        <v>      Home equity loan repayments [(96)*(80)]</v>
      </c>
      <c r="C121" s="59"/>
      <c r="D121" s="59"/>
      <c r="E121" s="38"/>
      <c r="F121" s="21">
        <v>8.129769418627038</v>
      </c>
      <c r="G121" s="21">
        <v>9.803334461217563</v>
      </c>
      <c r="H121" s="21">
        <v>11.05542830449551</v>
      </c>
      <c r="I121" s="21">
        <v>13.90641374947657</v>
      </c>
      <c r="J121" s="21">
        <v>7.6898608006272395</v>
      </c>
      <c r="K121" s="21">
        <v>15.437017246435365</v>
      </c>
      <c r="L121" s="21">
        <v>14.289548351069493</v>
      </c>
      <c r="M121" s="21">
        <v>23.7441714575368</v>
      </c>
      <c r="N121" s="21">
        <v>35.547837583479435</v>
      </c>
      <c r="O121" s="21">
        <v>41.86068735676584</v>
      </c>
      <c r="P121" s="21">
        <v>51.50177261342019</v>
      </c>
      <c r="Q121" s="21">
        <v>49.62718582723454</v>
      </c>
      <c r="R121" s="21">
        <v>60.381107706392854</v>
      </c>
      <c r="S121" s="21">
        <v>94.64995336104721</v>
      </c>
      <c r="T121" s="21">
        <v>125.78757168682614</v>
      </c>
      <c r="U121" s="21">
        <v>105.40809431050563</v>
      </c>
      <c r="V121" s="21"/>
      <c r="W121" s="22">
        <f t="shared" si="35"/>
        <v>18.146406872973085</v>
      </c>
      <c r="X121" s="23">
        <f t="shared" si="36"/>
        <v>76.3895182389842</v>
      </c>
      <c r="Y121" s="24">
        <f t="shared" si="37"/>
        <v>37.56077732831012</v>
      </c>
    </row>
    <row r="122" spans="1:25" ht="15" customHeight="1">
      <c r="A122" s="88">
        <f>A121-1</f>
        <v>-85</v>
      </c>
      <c r="B122" s="32" t="str">
        <f>"      Free cash generated by refinancings [("&amp;-1*A119&amp;")-("&amp;-1*A120&amp;")-("&amp;-1*A121&amp;")]"</f>
        <v>      Free cash generated by refinancings [(82)-(83)-(84)]</v>
      </c>
      <c r="C122" s="26"/>
      <c r="D122" s="26"/>
      <c r="E122" s="32"/>
      <c r="F122" s="89">
        <f aca="true" t="shared" si="39" ref="F122:U122">F119-F120-F121</f>
        <v>17.7504191730994</v>
      </c>
      <c r="G122" s="89">
        <f t="shared" si="39"/>
        <v>25.31413629251747</v>
      </c>
      <c r="H122" s="89">
        <f t="shared" si="39"/>
        <v>26.43343835325857</v>
      </c>
      <c r="I122" s="89">
        <f t="shared" si="39"/>
        <v>17.35182052659801</v>
      </c>
      <c r="J122" s="89">
        <f t="shared" si="39"/>
        <v>12.764053519795326</v>
      </c>
      <c r="K122" s="89">
        <f t="shared" si="39"/>
        <v>21.819799612692087</v>
      </c>
      <c r="L122" s="89">
        <f t="shared" si="39"/>
        <v>25.880492366093456</v>
      </c>
      <c r="M122" s="89">
        <f t="shared" si="39"/>
        <v>46.930001112594105</v>
      </c>
      <c r="N122" s="89">
        <f t="shared" si="39"/>
        <v>45.582234109309795</v>
      </c>
      <c r="O122" s="89">
        <f t="shared" si="39"/>
        <v>32.59451701003243</v>
      </c>
      <c r="P122" s="89">
        <f t="shared" si="39"/>
        <v>105.9412127895723</v>
      </c>
      <c r="Q122" s="89">
        <f t="shared" si="39"/>
        <v>140.02600774948547</v>
      </c>
      <c r="R122" s="89">
        <f t="shared" si="39"/>
        <v>173.19101705761796</v>
      </c>
      <c r="S122" s="89">
        <f t="shared" si="39"/>
        <v>145.74877797226162</v>
      </c>
      <c r="T122" s="89">
        <f t="shared" si="39"/>
        <v>197.3012560347529</v>
      </c>
      <c r="U122" s="89">
        <f t="shared" si="39"/>
        <v>173.66669622584294</v>
      </c>
      <c r="V122" s="29"/>
      <c r="W122" s="29">
        <f t="shared" si="35"/>
        <v>27.24209120759906</v>
      </c>
      <c r="X122" s="30">
        <f t="shared" si="36"/>
        <v>152.44165432073805</v>
      </c>
      <c r="Y122" s="31">
        <f t="shared" si="37"/>
        <v>68.97527891197872</v>
      </c>
    </row>
    <row r="123" spans="1:25" ht="15" customHeight="1">
      <c r="A123" s="88"/>
      <c r="B123" s="32" t="s">
        <v>33</v>
      </c>
      <c r="C123" s="26"/>
      <c r="D123" s="26"/>
      <c r="E123" s="32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29"/>
      <c r="W123" s="29"/>
      <c r="X123" s="30"/>
      <c r="Y123" s="31"/>
    </row>
    <row r="124" spans="1:25" ht="15" customHeight="1">
      <c r="A124" s="39">
        <f>A122-1</f>
        <v>-86</v>
      </c>
      <c r="B124" s="33" t="str">
        <f>"         Repayment of non-mortgage debt [("&amp;M144&amp;")*("&amp;-1*A122&amp;")]"</f>
        <v>         Repayment of non-mortgage debt [(0.27)*(85)]</v>
      </c>
      <c r="C124" s="33"/>
      <c r="D124" s="33"/>
      <c r="E124" s="38"/>
      <c r="F124" s="21">
        <v>4.7926131767368485</v>
      </c>
      <c r="G124" s="21">
        <v>6.834816798979737</v>
      </c>
      <c r="H124" s="21">
        <v>7.137028355379825</v>
      </c>
      <c r="I124" s="21">
        <v>4.6849915421814625</v>
      </c>
      <c r="J124" s="21">
        <v>3.44629445034474</v>
      </c>
      <c r="K124" s="21">
        <v>5.891345895426871</v>
      </c>
      <c r="L124" s="21">
        <v>6.98773293884524</v>
      </c>
      <c r="M124" s="21">
        <v>12.67110030040042</v>
      </c>
      <c r="N124" s="21">
        <v>12.307203209513641</v>
      </c>
      <c r="O124" s="21">
        <v>8.800519592708755</v>
      </c>
      <c r="P124" s="21">
        <v>28.60412745318456</v>
      </c>
      <c r="Q124" s="21">
        <v>37.807022092361144</v>
      </c>
      <c r="R124" s="21">
        <v>46.76157460555695</v>
      </c>
      <c r="S124" s="21">
        <v>39.352170052510644</v>
      </c>
      <c r="T124" s="21">
        <v>53.2713391293832</v>
      </c>
      <c r="U124" s="21">
        <v>46.89000798097763</v>
      </c>
      <c r="V124" s="21"/>
      <c r="W124" s="22">
        <f aca="true" t="shared" si="40" ref="W124:W130">AVERAGE(F124:O124)</f>
        <v>7.355364626051754</v>
      </c>
      <c r="X124" s="23">
        <f aca="true" t="shared" si="41" ref="X124:X130">AVERAGE(P124:T124)</f>
        <v>41.159246666599294</v>
      </c>
      <c r="Y124" s="24">
        <f aca="true" t="shared" si="42" ref="Y124:Y130">AVERAGE(F124:T124)</f>
        <v>18.62332530623427</v>
      </c>
    </row>
    <row r="125" spans="1:25" ht="15" customHeight="1">
      <c r="A125" s="39">
        <f aca="true" t="shared" si="43" ref="A125:A130">A124-1</f>
        <v>-87</v>
      </c>
      <c r="B125" s="33" t="str">
        <f>"         Home improvements [("&amp;M145&amp;")*("&amp;-1*A122&amp;")]"</f>
        <v>         Home improvements [(0.34)*(85)]</v>
      </c>
      <c r="C125" s="33"/>
      <c r="D125" s="33"/>
      <c r="E125" s="38"/>
      <c r="F125" s="21">
        <v>6.035142518853809</v>
      </c>
      <c r="G125" s="21">
        <v>8.606806339455963</v>
      </c>
      <c r="H125" s="21">
        <v>8.987369040107927</v>
      </c>
      <c r="I125" s="21">
        <v>5.899618979043324</v>
      </c>
      <c r="J125" s="21">
        <v>4.339778196730412</v>
      </c>
      <c r="K125" s="21">
        <v>7.418731868315318</v>
      </c>
      <c r="L125" s="21">
        <v>8.799367404471782</v>
      </c>
      <c r="M125" s="21">
        <v>15.956200378282007</v>
      </c>
      <c r="N125" s="21">
        <v>15.497959597165323</v>
      </c>
      <c r="O125" s="21">
        <v>11.082135783411022</v>
      </c>
      <c r="P125" s="21">
        <v>36.02001234845462</v>
      </c>
      <c r="Q125" s="21">
        <v>47.60884263482514</v>
      </c>
      <c r="R125" s="21">
        <v>58.88494579959023</v>
      </c>
      <c r="S125" s="21">
        <v>49.554584510568944</v>
      </c>
      <c r="T125" s="21">
        <v>67.08242705181587</v>
      </c>
      <c r="U125" s="21">
        <v>59.04667671678662</v>
      </c>
      <c r="V125" s="21"/>
      <c r="W125" s="22">
        <f t="shared" si="40"/>
        <v>9.262311010583689</v>
      </c>
      <c r="X125" s="23">
        <f t="shared" si="41"/>
        <v>51.83016246905095</v>
      </c>
      <c r="Y125" s="24">
        <f t="shared" si="42"/>
        <v>23.451594830072782</v>
      </c>
    </row>
    <row r="126" spans="1:25" ht="15" customHeight="1">
      <c r="A126" s="39">
        <f t="shared" si="43"/>
        <v>-88</v>
      </c>
      <c r="B126" s="33" t="str">
        <f>"         PCE [("&amp;M146&amp;")*("&amp;-1*A122&amp;")]"</f>
        <v>         PCE [(0.17)*(85)]</v>
      </c>
      <c r="C126" s="33"/>
      <c r="D126" s="33"/>
      <c r="E126" s="38"/>
      <c r="F126" s="21">
        <v>3.0175712594269046</v>
      </c>
      <c r="G126" s="21">
        <v>4.303403169727981</v>
      </c>
      <c r="H126" s="21">
        <v>4.4936845200539635</v>
      </c>
      <c r="I126" s="21">
        <v>2.949809489521662</v>
      </c>
      <c r="J126" s="21">
        <v>2.169889098365206</v>
      </c>
      <c r="K126" s="21">
        <v>3.709365934157659</v>
      </c>
      <c r="L126" s="21">
        <v>4.399683702235891</v>
      </c>
      <c r="M126" s="21">
        <v>7.978100189141004</v>
      </c>
      <c r="N126" s="21">
        <v>7.748979798582662</v>
      </c>
      <c r="O126" s="21">
        <v>5.541067891705511</v>
      </c>
      <c r="P126" s="21">
        <v>18.01000617422731</v>
      </c>
      <c r="Q126" s="21">
        <v>23.80442131741257</v>
      </c>
      <c r="R126" s="21">
        <v>29.442472899795114</v>
      </c>
      <c r="S126" s="21">
        <v>24.777292255284472</v>
      </c>
      <c r="T126" s="21">
        <v>33.541213525907935</v>
      </c>
      <c r="U126" s="21">
        <v>29.52333835839331</v>
      </c>
      <c r="V126" s="21"/>
      <c r="W126" s="22">
        <f t="shared" si="40"/>
        <v>4.6311555052918445</v>
      </c>
      <c r="X126" s="23">
        <f t="shared" si="41"/>
        <v>25.915081234525474</v>
      </c>
      <c r="Y126" s="24">
        <f t="shared" si="42"/>
        <v>11.725797415036391</v>
      </c>
    </row>
    <row r="127" spans="1:25" ht="15" customHeight="1">
      <c r="A127" s="39">
        <f t="shared" si="43"/>
        <v>-89</v>
      </c>
      <c r="B127" s="33" t="str">
        <f>"         Acquisition of assets and other [("&amp;-1*A128&amp;")+("&amp;-1*A129&amp;")]"</f>
        <v>         Acquisition of assets and other [(90)+(91)]</v>
      </c>
      <c r="C127" s="33"/>
      <c r="D127" s="33"/>
      <c r="E127" s="38"/>
      <c r="F127" s="21">
        <v>3.905092218081877</v>
      </c>
      <c r="G127" s="21">
        <v>5.569109984353859</v>
      </c>
      <c r="H127" s="21">
        <v>5.815356437716895</v>
      </c>
      <c r="I127" s="21">
        <v>3.817400515851562</v>
      </c>
      <c r="J127" s="21">
        <v>2.808091774354973</v>
      </c>
      <c r="K127" s="21">
        <v>4.800355914792265</v>
      </c>
      <c r="L127" s="21">
        <v>5.693708320540566</v>
      </c>
      <c r="M127" s="21">
        <v>10.324600244770714</v>
      </c>
      <c r="N127" s="21">
        <v>10.028091504048152</v>
      </c>
      <c r="O127" s="21">
        <v>7.170793742207134</v>
      </c>
      <c r="P127" s="21">
        <v>23.307066813705937</v>
      </c>
      <c r="Q127" s="21">
        <v>30.80572170488686</v>
      </c>
      <c r="R127" s="21">
        <v>38.10202375267604</v>
      </c>
      <c r="S127" s="21">
        <v>32.064731153897554</v>
      </c>
      <c r="T127" s="21">
        <v>43.40627632764557</v>
      </c>
      <c r="U127" s="21">
        <v>38.206673169685466</v>
      </c>
      <c r="V127" s="21"/>
      <c r="W127" s="22">
        <f t="shared" si="40"/>
        <v>5.9932600656718</v>
      </c>
      <c r="X127" s="23">
        <f t="shared" si="41"/>
        <v>33.537163950562395</v>
      </c>
      <c r="Y127" s="24">
        <f t="shared" si="42"/>
        <v>15.17456136063533</v>
      </c>
    </row>
    <row r="128" spans="1:25" ht="15" customHeight="1">
      <c r="A128" s="39">
        <f t="shared" si="43"/>
        <v>-90</v>
      </c>
      <c r="B128" s="33" t="str">
        <f>"            Financial assets [("&amp;M147&amp;")*("&amp;-1*A122&amp;")]"</f>
        <v>            Financial assets [(0.075)*(85)]</v>
      </c>
      <c r="C128" s="33"/>
      <c r="D128" s="33"/>
      <c r="E128" s="38"/>
      <c r="F128" s="21">
        <v>1.331281437982458</v>
      </c>
      <c r="G128" s="21">
        <v>1.8985602219388156</v>
      </c>
      <c r="H128" s="21">
        <v>1.9825078764943957</v>
      </c>
      <c r="I128" s="21">
        <v>1.3013865394948507</v>
      </c>
      <c r="J128" s="21">
        <v>0.95730401398465</v>
      </c>
      <c r="K128" s="21">
        <v>1.6364849709519085</v>
      </c>
      <c r="L128" s="21">
        <v>1.9410369274570107</v>
      </c>
      <c r="M128" s="21">
        <v>3.5197500834445608</v>
      </c>
      <c r="N128" s="21">
        <v>3.4186675581982335</v>
      </c>
      <c r="O128" s="21">
        <v>2.4445887757524316</v>
      </c>
      <c r="P128" s="21">
        <v>7.945590959217933</v>
      </c>
      <c r="Q128" s="21">
        <v>10.501950581211428</v>
      </c>
      <c r="R128" s="21">
        <v>12.989326279321373</v>
      </c>
      <c r="S128" s="21">
        <v>10.93115834791962</v>
      </c>
      <c r="T128" s="21">
        <v>14.797594202606444</v>
      </c>
      <c r="U128" s="21">
        <v>13.025002216938226</v>
      </c>
      <c r="V128" s="21"/>
      <c r="W128" s="22">
        <f t="shared" si="40"/>
        <v>2.0431568405699316</v>
      </c>
      <c r="X128" s="23">
        <f t="shared" si="41"/>
        <v>11.43312407405536</v>
      </c>
      <c r="Y128" s="24">
        <f t="shared" si="42"/>
        <v>5.173145918398408</v>
      </c>
    </row>
    <row r="129" spans="1:25" ht="15" customHeight="1">
      <c r="A129" s="39">
        <f t="shared" si="43"/>
        <v>-91</v>
      </c>
      <c r="B129" s="33" t="str">
        <f>"            Real estate or business investments [("&amp;M148&amp;")*("&amp;-1*A122&amp;")]"</f>
        <v>            Real estate or business investments [(0.145)*(85)]</v>
      </c>
      <c r="C129" s="33"/>
      <c r="D129" s="33"/>
      <c r="E129" s="38"/>
      <c r="F129" s="21">
        <v>2.573810780099419</v>
      </c>
      <c r="G129" s="21">
        <v>3.6705497624150434</v>
      </c>
      <c r="H129" s="21">
        <v>3.832848561222499</v>
      </c>
      <c r="I129" s="21">
        <v>2.5160139763567115</v>
      </c>
      <c r="J129" s="21">
        <v>1.8507877603703233</v>
      </c>
      <c r="K129" s="21">
        <v>3.1638709438403567</v>
      </c>
      <c r="L129" s="21">
        <v>3.752671393083555</v>
      </c>
      <c r="M129" s="21">
        <v>6.804850161326152</v>
      </c>
      <c r="N129" s="21">
        <v>6.609423945849919</v>
      </c>
      <c r="O129" s="21">
        <v>4.726204966454702</v>
      </c>
      <c r="P129" s="21">
        <v>15.361475854488003</v>
      </c>
      <c r="Q129" s="21">
        <v>20.303771123675432</v>
      </c>
      <c r="R129" s="21">
        <v>25.11269747335466</v>
      </c>
      <c r="S129" s="21">
        <v>21.133572805977938</v>
      </c>
      <c r="T129" s="21">
        <v>28.608682125039127</v>
      </c>
      <c r="U129" s="21">
        <v>25.18167095274724</v>
      </c>
      <c r="V129" s="21"/>
      <c r="W129" s="22">
        <f t="shared" si="40"/>
        <v>3.9501032251018686</v>
      </c>
      <c r="X129" s="23">
        <f t="shared" si="41"/>
        <v>22.10403987650703</v>
      </c>
      <c r="Y129" s="24">
        <f t="shared" si="42"/>
        <v>10.001415442236922</v>
      </c>
    </row>
    <row r="130" spans="1:25" s="59" customFormat="1" ht="15" customHeight="1">
      <c r="A130" s="39">
        <f t="shared" si="43"/>
        <v>-92</v>
      </c>
      <c r="B130" s="33" t="str">
        <f>"PCE plus repayment of non-mortgage debt   [("&amp;-1*A126&amp;")+("&amp;-1*A124&amp;")]"</f>
        <v>PCE plus repayment of non-mortgage debt   [(88)+(86)]</v>
      </c>
      <c r="C130" s="33"/>
      <c r="D130" s="33"/>
      <c r="E130" s="40"/>
      <c r="F130" s="21">
        <v>7.810184436163754</v>
      </c>
      <c r="G130" s="21">
        <v>11.138219968707718</v>
      </c>
      <c r="H130" s="21">
        <v>11.630712875433789</v>
      </c>
      <c r="I130" s="21">
        <v>7.634801031703125</v>
      </c>
      <c r="J130" s="21">
        <v>5.616183548709946</v>
      </c>
      <c r="K130" s="21">
        <v>9.60071182958453</v>
      </c>
      <c r="L130" s="21">
        <v>11.387416641081131</v>
      </c>
      <c r="M130" s="21">
        <v>20.649200489541425</v>
      </c>
      <c r="N130" s="21">
        <v>20.056183008096305</v>
      </c>
      <c r="O130" s="21">
        <v>14.341587484414266</v>
      </c>
      <c r="P130" s="21">
        <v>46.614133627411874</v>
      </c>
      <c r="Q130" s="21">
        <v>61.61144340977371</v>
      </c>
      <c r="R130" s="21">
        <v>76.20404750535207</v>
      </c>
      <c r="S130" s="21">
        <v>64.12946230779511</v>
      </c>
      <c r="T130" s="21">
        <v>86.81255265529114</v>
      </c>
      <c r="U130" s="21">
        <v>76.41334633937095</v>
      </c>
      <c r="V130" s="22"/>
      <c r="W130" s="22">
        <f t="shared" si="40"/>
        <v>11.9865201313436</v>
      </c>
      <c r="X130" s="23">
        <f t="shared" si="41"/>
        <v>67.07432790112478</v>
      </c>
      <c r="Y130" s="66">
        <f t="shared" si="42"/>
        <v>30.349122721270657</v>
      </c>
    </row>
    <row r="131" spans="1:25" s="86" customFormat="1" ht="15" customHeight="1">
      <c r="A131" s="91"/>
      <c r="B131" s="26"/>
      <c r="C131" s="26"/>
      <c r="D131" s="26"/>
      <c r="E131" s="92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29"/>
      <c r="U131" s="29"/>
      <c r="V131" s="29"/>
      <c r="W131" s="29"/>
      <c r="X131" s="30"/>
      <c r="Y131" s="93"/>
    </row>
    <row r="132" spans="1:25" s="86" customFormat="1" ht="15" customHeight="1">
      <c r="A132" s="43"/>
      <c r="B132" s="59" t="s">
        <v>7</v>
      </c>
      <c r="C132" s="33"/>
      <c r="D132" s="33"/>
      <c r="E132" s="13"/>
      <c r="F132" s="40"/>
      <c r="G132" s="40"/>
      <c r="H132" s="40"/>
      <c r="I132" s="40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29"/>
      <c r="U132" s="29"/>
      <c r="V132" s="29"/>
      <c r="W132" s="29"/>
      <c r="X132" s="30"/>
      <c r="Y132" s="93"/>
    </row>
    <row r="133" spans="1:25" s="59" customFormat="1" ht="15" customHeight="1">
      <c r="A133" s="39">
        <f>A130-1</f>
        <v>-93</v>
      </c>
      <c r="B133" s="33" t="str">
        <f>"Gross cash out share [("&amp;-1*A119&amp;")/("&amp;-1*A117&amp;")]"</f>
        <v>Gross cash out share [(82)/(80)]</v>
      </c>
      <c r="C133" s="33"/>
      <c r="D133" s="33"/>
      <c r="E133" s="40"/>
      <c r="F133" s="94">
        <f aca="true" t="shared" si="44" ref="F133:T133">F119/F117</f>
        <v>0.1347657935907883</v>
      </c>
      <c r="G133" s="94">
        <f t="shared" si="44"/>
        <v>0.08646592836788017</v>
      </c>
      <c r="H133" s="94">
        <f t="shared" si="44"/>
        <v>0.07562034615940554</v>
      </c>
      <c r="I133" s="94">
        <f t="shared" si="44"/>
        <v>0.12907202989986055</v>
      </c>
      <c r="J133" s="94">
        <f t="shared" si="44"/>
        <v>0.13469708717203374</v>
      </c>
      <c r="K133" s="94">
        <f t="shared" si="44"/>
        <v>0.15033339978562157</v>
      </c>
      <c r="L133" s="94">
        <f t="shared" si="44"/>
        <v>0.14608245737397818</v>
      </c>
      <c r="M133" s="94">
        <f t="shared" si="44"/>
        <v>0.10280067908183851</v>
      </c>
      <c r="N133" s="94">
        <f t="shared" si="44"/>
        <v>0.15788634370524357</v>
      </c>
      <c r="O133" s="94">
        <f t="shared" si="44"/>
        <v>0.2541456916997252</v>
      </c>
      <c r="P133" s="94">
        <f t="shared" si="44"/>
        <v>0.13318194990979942</v>
      </c>
      <c r="Q133" s="94">
        <f t="shared" si="44"/>
        <v>0.11254456517957256</v>
      </c>
      <c r="R133" s="94">
        <f t="shared" si="44"/>
        <v>0.09386207629238985</v>
      </c>
      <c r="S133" s="94">
        <f t="shared" si="44"/>
        <v>0.16764985935179053</v>
      </c>
      <c r="T133" s="94">
        <f t="shared" si="44"/>
        <v>0.22045177608281877</v>
      </c>
      <c r="U133" s="94">
        <f>U119/U117</f>
        <v>0.2207325249230275</v>
      </c>
      <c r="V133" s="22"/>
      <c r="W133" s="35">
        <f aca="true" t="shared" si="45" ref="W133:W139">AVERAGE(F133:O133)</f>
        <v>0.13718697568363752</v>
      </c>
      <c r="X133" s="36">
        <f aca="true" t="shared" si="46" ref="X133:X139">AVERAGE(P133:T133)</f>
        <v>0.14553804536327422</v>
      </c>
      <c r="Y133" s="37">
        <f aca="true" t="shared" si="47" ref="Y133:Y139">AVERAGE(F133:T133)</f>
        <v>0.13997066557684976</v>
      </c>
    </row>
    <row r="134" spans="1:25" s="86" customFormat="1" ht="15" customHeight="1">
      <c r="A134" s="43">
        <f>A130-1</f>
        <v>-93</v>
      </c>
      <c r="B134" s="33" t="s">
        <v>34</v>
      </c>
      <c r="C134" s="33"/>
      <c r="D134" s="33"/>
      <c r="E134" s="13"/>
      <c r="F134" s="34">
        <v>0.06445979279915702</v>
      </c>
      <c r="G134" s="34">
        <v>0.04409241873116397</v>
      </c>
      <c r="H134" s="34">
        <v>0.041656060520694344</v>
      </c>
      <c r="I134" s="34">
        <v>0.09208578415383883</v>
      </c>
      <c r="J134" s="34">
        <v>0.0756839551995322</v>
      </c>
      <c r="K134" s="34">
        <v>0.07930941002236047</v>
      </c>
      <c r="L134" s="34">
        <v>0.06943990208849124</v>
      </c>
      <c r="M134" s="34">
        <v>0.04895738824374138</v>
      </c>
      <c r="N134" s="34">
        <v>0.09323500054869538</v>
      </c>
      <c r="O134" s="34">
        <v>0.1549924509744025</v>
      </c>
      <c r="P134" s="34">
        <v>0.05816663010549453</v>
      </c>
      <c r="Q134" s="34">
        <v>0.04700812221813386</v>
      </c>
      <c r="R134" s="34">
        <v>0.039885589286783193</v>
      </c>
      <c r="S134" s="34">
        <v>0.07643854383458341</v>
      </c>
      <c r="T134" s="34">
        <v>0.09542443092923</v>
      </c>
      <c r="U134" s="34">
        <v>0.09300704858364665</v>
      </c>
      <c r="V134" s="29"/>
      <c r="W134" s="35">
        <f t="shared" si="45"/>
        <v>0.07639121632820774</v>
      </c>
      <c r="X134" s="36">
        <f t="shared" si="46"/>
        <v>0.063384663274845</v>
      </c>
      <c r="Y134" s="37">
        <f t="shared" si="47"/>
        <v>0.07205569864375348</v>
      </c>
    </row>
    <row r="135" spans="1:25" s="86" customFormat="1" ht="15" customHeight="1">
      <c r="A135" s="43">
        <f>A134-1</f>
        <v>-94</v>
      </c>
      <c r="B135" s="33" t="str">
        <f>"Fees and points / refinance orig. [(0.0125)+("&amp;-1*A136&amp;")]"</f>
        <v>Fees and points / refinance orig. [(0.0125)+(95)]</v>
      </c>
      <c r="C135" s="13"/>
      <c r="D135" s="13"/>
      <c r="E135" s="46"/>
      <c r="F135" s="46">
        <f aca="true" t="shared" si="48" ref="F135:U135">0.0125+F136</f>
        <v>0.028225000000000004</v>
      </c>
      <c r="G135" s="46">
        <f t="shared" si="48"/>
        <v>0.0282</v>
      </c>
      <c r="H135" s="46">
        <f t="shared" si="48"/>
        <v>0.02474166666666667</v>
      </c>
      <c r="I135" s="46">
        <f t="shared" si="48"/>
        <v>0.023508333333333336</v>
      </c>
      <c r="J135" s="46">
        <f t="shared" si="48"/>
        <v>0.022158333333333335</v>
      </c>
      <c r="K135" s="46">
        <f t="shared" si="48"/>
        <v>0.022108333333333334</v>
      </c>
      <c r="L135" s="46">
        <f t="shared" si="48"/>
        <v>0.022283333333333336</v>
      </c>
      <c r="M135" s="46">
        <f t="shared" si="48"/>
        <v>0.021033333333333334</v>
      </c>
      <c r="N135" s="46">
        <f t="shared" si="48"/>
        <v>0.019825000000000002</v>
      </c>
      <c r="O135" s="46">
        <f t="shared" si="48"/>
        <v>0.019175</v>
      </c>
      <c r="P135" s="46">
        <f t="shared" si="48"/>
        <v>0.017791666666666667</v>
      </c>
      <c r="Q135" s="46">
        <f t="shared" si="48"/>
        <v>0.017141666666666666</v>
      </c>
      <c r="R135" s="46">
        <f t="shared" si="48"/>
        <v>0.016283333333333334</v>
      </c>
      <c r="S135" s="46">
        <f t="shared" si="48"/>
        <v>0.016541666666666666</v>
      </c>
      <c r="T135" s="46">
        <f t="shared" si="48"/>
        <v>0.01626666666666667</v>
      </c>
      <c r="U135" s="46">
        <f t="shared" si="48"/>
        <v>0.016566666666666667</v>
      </c>
      <c r="V135" s="29"/>
      <c r="W135" s="35">
        <f t="shared" si="45"/>
        <v>0.02312583333333334</v>
      </c>
      <c r="X135" s="36">
        <f t="shared" si="46"/>
        <v>0.016804999999999997</v>
      </c>
      <c r="Y135" s="37">
        <f t="shared" si="47"/>
        <v>0.02101888888888889</v>
      </c>
    </row>
    <row r="136" spans="1:25" s="86" customFormat="1" ht="15" customHeight="1">
      <c r="A136" s="43">
        <f>A135-1</f>
        <v>-95</v>
      </c>
      <c r="B136" s="33" t="str">
        <f>"   Points (FHFB) [("&amp;-1*A58&amp;")]"</f>
        <v>   Points (FHFB) [(39)]</v>
      </c>
      <c r="C136" s="13"/>
      <c r="D136" s="13"/>
      <c r="E136" s="13"/>
      <c r="F136" s="34">
        <v>0.015725000000000003</v>
      </c>
      <c r="G136" s="34">
        <v>0.0157</v>
      </c>
      <c r="H136" s="34">
        <v>0.012241666666666668</v>
      </c>
      <c r="I136" s="34">
        <v>0.011008333333333335</v>
      </c>
      <c r="J136" s="34">
        <v>0.009658333333333333</v>
      </c>
      <c r="K136" s="34">
        <v>0.009608333333333335</v>
      </c>
      <c r="L136" s="34">
        <v>0.009783333333333333</v>
      </c>
      <c r="M136" s="34">
        <v>0.008533333333333334</v>
      </c>
      <c r="N136" s="34">
        <v>0.007325</v>
      </c>
      <c r="O136" s="34">
        <v>0.0066749999999999995</v>
      </c>
      <c r="P136" s="34">
        <v>0.005291666666666667</v>
      </c>
      <c r="Q136" s="34">
        <v>0.004641666666666667</v>
      </c>
      <c r="R136" s="34">
        <v>0.0037833333333333334</v>
      </c>
      <c r="S136" s="34">
        <v>0.0040416666666666665</v>
      </c>
      <c r="T136" s="34">
        <v>0.0037666666666666673</v>
      </c>
      <c r="U136" s="34">
        <v>0.004066666666666667</v>
      </c>
      <c r="V136" s="29"/>
      <c r="W136" s="35">
        <f t="shared" si="45"/>
        <v>0.010625833333333334</v>
      </c>
      <c r="X136" s="36">
        <f t="shared" si="46"/>
        <v>0.004305000000000001</v>
      </c>
      <c r="Y136" s="37">
        <f t="shared" si="47"/>
        <v>0.008518888888888888</v>
      </c>
    </row>
    <row r="137" spans="1:25" s="86" customFormat="1" ht="15" customHeight="1">
      <c r="A137" s="43">
        <f>A136-1</f>
        <v>-96</v>
      </c>
      <c r="B137" s="33" t="str">
        <f>"Home equity loans paid of at refi. / refi orig. [("&amp;-1*A134&amp;")-("&amp;-1*A135&amp;")]"</f>
        <v>Home equity loans paid of at refi. / refi orig. [(93)-(94)]</v>
      </c>
      <c r="C137" s="13"/>
      <c r="D137" s="13"/>
      <c r="E137" s="13"/>
      <c r="F137" s="34">
        <f aca="true" t="shared" si="49" ref="F137:T137">F134-F135</f>
        <v>0.03623479279915702</v>
      </c>
      <c r="G137" s="34">
        <f t="shared" si="49"/>
        <v>0.01589241873116397</v>
      </c>
      <c r="H137" s="34">
        <f t="shared" si="49"/>
        <v>0.016914393854027675</v>
      </c>
      <c r="I137" s="34">
        <f t="shared" si="49"/>
        <v>0.0685774508205055</v>
      </c>
      <c r="J137" s="34">
        <f t="shared" si="49"/>
        <v>0.05352562186619886</v>
      </c>
      <c r="K137" s="34">
        <f t="shared" si="49"/>
        <v>0.05720107668902714</v>
      </c>
      <c r="L137" s="34">
        <f t="shared" si="49"/>
        <v>0.047156568755157904</v>
      </c>
      <c r="M137" s="34">
        <f t="shared" si="49"/>
        <v>0.027924054910408044</v>
      </c>
      <c r="N137" s="34">
        <f t="shared" si="49"/>
        <v>0.07341000054869537</v>
      </c>
      <c r="O137" s="34">
        <f t="shared" si="49"/>
        <v>0.1358174509744025</v>
      </c>
      <c r="P137" s="34">
        <f t="shared" si="49"/>
        <v>0.04037496343882786</v>
      </c>
      <c r="Q137" s="34">
        <f t="shared" si="49"/>
        <v>0.02986645555146719</v>
      </c>
      <c r="R137" s="34">
        <f t="shared" si="49"/>
        <v>0.02360225595344986</v>
      </c>
      <c r="S137" s="34">
        <f t="shared" si="49"/>
        <v>0.05989687716791675</v>
      </c>
      <c r="T137" s="34">
        <f t="shared" si="49"/>
        <v>0.07915776426256334</v>
      </c>
      <c r="U137" s="34">
        <f>U134-U135</f>
        <v>0.07644038191698</v>
      </c>
      <c r="V137" s="29"/>
      <c r="W137" s="35">
        <f t="shared" si="45"/>
        <v>0.0532653829948744</v>
      </c>
      <c r="X137" s="36">
        <f t="shared" si="46"/>
        <v>0.046579663274844994</v>
      </c>
      <c r="Y137" s="37">
        <f t="shared" si="47"/>
        <v>0.051036809754864604</v>
      </c>
    </row>
    <row r="138" spans="1:25" s="86" customFormat="1" ht="15" customHeight="1">
      <c r="A138" s="43">
        <f>A137-1</f>
        <v>-97</v>
      </c>
      <c r="B138" s="33" t="str">
        <f>"Free cash as a share of refinance originations [("&amp;-1*A122&amp;")/("&amp;-1*A117&amp;")]"</f>
        <v>Free cash as a share of refinance originations [(85)/(80)]</v>
      </c>
      <c r="C138" s="13"/>
      <c r="D138" s="13"/>
      <c r="E138" s="13"/>
      <c r="F138" s="34">
        <f aca="true" t="shared" si="50" ref="F138:T138">F122/F117</f>
        <v>0.07309868599688112</v>
      </c>
      <c r="G138" s="34">
        <f t="shared" si="50"/>
        <v>0.042061056077727005</v>
      </c>
      <c r="H138" s="34">
        <f t="shared" si="50"/>
        <v>0.03606855371353356</v>
      </c>
      <c r="I138" s="34">
        <f t="shared" si="50"/>
        <v>0.05874962826139919</v>
      </c>
      <c r="J138" s="34">
        <f t="shared" si="50"/>
        <v>0.07042042485618408</v>
      </c>
      <c r="K138" s="34">
        <f t="shared" si="50"/>
        <v>0.075120363451051</v>
      </c>
      <c r="L138" s="34">
        <f t="shared" si="50"/>
        <v>0.07979212390203873</v>
      </c>
      <c r="M138" s="34">
        <f t="shared" si="50"/>
        <v>0.05431456475658633</v>
      </c>
      <c r="N138" s="34">
        <f t="shared" si="50"/>
        <v>0.07748901126372065</v>
      </c>
      <c r="O138" s="34">
        <f t="shared" si="50"/>
        <v>0.10287873822404524</v>
      </c>
      <c r="P138" s="34">
        <f t="shared" si="50"/>
        <v>0.07771034125155647</v>
      </c>
      <c r="Q138" s="34">
        <f t="shared" si="50"/>
        <v>0.07056244409738006</v>
      </c>
      <c r="R138" s="34">
        <f t="shared" si="50"/>
        <v>0.05759731305801982</v>
      </c>
      <c r="S138" s="34">
        <f t="shared" si="50"/>
        <v>0.09164125152329344</v>
      </c>
      <c r="T138" s="34">
        <f t="shared" si="50"/>
        <v>0.12469327806170379</v>
      </c>
      <c r="U138" s="34">
        <f>U122/U117</f>
        <v>0.12705898037583913</v>
      </c>
      <c r="V138" s="29"/>
      <c r="W138" s="35">
        <f t="shared" si="45"/>
        <v>0.06699931505031669</v>
      </c>
      <c r="X138" s="36">
        <f t="shared" si="46"/>
        <v>0.08444092559839071</v>
      </c>
      <c r="Y138" s="37">
        <f t="shared" si="47"/>
        <v>0.07281318523300805</v>
      </c>
    </row>
    <row r="139" spans="1:25" s="86" customFormat="1" ht="15" customHeight="1">
      <c r="A139" s="43">
        <f>A138-1</f>
        <v>-98</v>
      </c>
      <c r="B139" s="33" t="str">
        <f>"Ratio: Free cash / gross cash out [("&amp;A122*-1&amp;")/("&amp;-1*A119&amp;")]"</f>
        <v>Ratio: Free cash / gross cash out [(85)/(82)]</v>
      </c>
      <c r="C139" s="33"/>
      <c r="D139" s="33"/>
      <c r="E139" s="13"/>
      <c r="F139" s="40">
        <f aca="true" t="shared" si="51" ref="F139:T139">F122/F119</f>
        <v>0.5424127595674817</v>
      </c>
      <c r="G139" s="40">
        <f t="shared" si="51"/>
        <v>0.4864465908325526</v>
      </c>
      <c r="H139" s="40">
        <f t="shared" si="51"/>
        <v>0.47696890513436796</v>
      </c>
      <c r="I139" s="40">
        <f t="shared" si="51"/>
        <v>0.45516932140123306</v>
      </c>
      <c r="J139" s="40">
        <f t="shared" si="51"/>
        <v>0.5228058478075612</v>
      </c>
      <c r="K139" s="40">
        <f t="shared" si="51"/>
        <v>0.4996917754682203</v>
      </c>
      <c r="L139" s="40">
        <f t="shared" si="51"/>
        <v>0.546212908356046</v>
      </c>
      <c r="M139" s="40">
        <f t="shared" si="51"/>
        <v>0.528348307051037</v>
      </c>
      <c r="N139" s="40">
        <f t="shared" si="51"/>
        <v>0.4907898266894071</v>
      </c>
      <c r="O139" s="40">
        <f t="shared" si="51"/>
        <v>0.4048022122114002</v>
      </c>
      <c r="P139" s="40">
        <f t="shared" si="51"/>
        <v>0.5834900397853283</v>
      </c>
      <c r="Q139" s="40">
        <f t="shared" si="51"/>
        <v>0.6269733592625539</v>
      </c>
      <c r="R139" s="40">
        <f t="shared" si="51"/>
        <v>0.6136377473538767</v>
      </c>
      <c r="S139" s="40">
        <f t="shared" si="51"/>
        <v>0.5466228953464058</v>
      </c>
      <c r="T139" s="40">
        <f t="shared" si="51"/>
        <v>0.565626098720381</v>
      </c>
      <c r="U139" s="40">
        <f>U122/U119</f>
        <v>0.5756241877817796</v>
      </c>
      <c r="V139" s="29"/>
      <c r="W139" s="35">
        <f t="shared" si="45"/>
        <v>0.49536484545193077</v>
      </c>
      <c r="X139" s="36">
        <f t="shared" si="46"/>
        <v>0.5872700280937092</v>
      </c>
      <c r="Y139" s="37">
        <f t="shared" si="47"/>
        <v>0.5259999063325236</v>
      </c>
    </row>
    <row r="140" spans="1:25" s="86" customFormat="1" ht="15" customHeight="1">
      <c r="A140" s="43"/>
      <c r="B140" s="13"/>
      <c r="C140" s="33"/>
      <c r="D140" s="33"/>
      <c r="E140" s="38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2"/>
      <c r="X140" s="23"/>
      <c r="Y140" s="24"/>
    </row>
    <row r="141" ht="15">
      <c r="A141" s="95" t="str">
        <f>"Lines "&amp;-1*A133&amp;" and "&amp;-1*A134&amp;": source Freddie Mac and our estimates"</f>
        <v>Lines 93 and 93: source Freddie Mac and our estimates</v>
      </c>
    </row>
    <row r="142" spans="8:25" ht="15" customHeight="1">
      <c r="H142" s="15"/>
      <c r="I142" s="96"/>
      <c r="J142" s="82"/>
      <c r="K142" s="144" t="s">
        <v>35</v>
      </c>
      <c r="L142" s="146" t="s">
        <v>36</v>
      </c>
      <c r="M142" s="24"/>
      <c r="P142" s="24"/>
      <c r="Q142" s="24"/>
      <c r="R142" s="24"/>
      <c r="S142" s="24"/>
      <c r="T142" s="24"/>
      <c r="U142" s="24"/>
      <c r="V142" s="82"/>
      <c r="W142" s="97"/>
      <c r="X142" s="97"/>
      <c r="Y142" s="24"/>
    </row>
    <row r="143" spans="7:24" ht="15" customHeight="1">
      <c r="G143" s="98" t="s">
        <v>37</v>
      </c>
      <c r="H143" s="99"/>
      <c r="I143" s="99"/>
      <c r="J143" s="99"/>
      <c r="K143" s="145"/>
      <c r="L143" s="147"/>
      <c r="M143" s="100" t="s">
        <v>0</v>
      </c>
      <c r="P143" s="24"/>
      <c r="Q143" s="24"/>
      <c r="R143" s="24"/>
      <c r="S143" s="24"/>
      <c r="T143" s="24"/>
      <c r="U143" s="24"/>
      <c r="V143" s="82"/>
      <c r="W143" s="83"/>
      <c r="X143" s="23"/>
    </row>
    <row r="144" spans="6:24" ht="15" customHeight="1">
      <c r="F144" s="101" t="s">
        <v>38</v>
      </c>
      <c r="G144" s="13" t="s">
        <v>39</v>
      </c>
      <c r="K144" s="102">
        <v>0.28</v>
      </c>
      <c r="L144" s="102">
        <v>0.26</v>
      </c>
      <c r="M144" s="102">
        <v>0.27</v>
      </c>
      <c r="P144" s="24"/>
      <c r="Q144" s="24"/>
      <c r="R144" s="24"/>
      <c r="S144" s="24"/>
      <c r="T144" s="24"/>
      <c r="U144" s="24"/>
      <c r="V144" s="82"/>
      <c r="W144" s="83"/>
      <c r="X144" s="23"/>
    </row>
    <row r="145" spans="6:24" ht="15" customHeight="1">
      <c r="F145" s="101" t="s">
        <v>40</v>
      </c>
      <c r="G145" s="13" t="s">
        <v>41</v>
      </c>
      <c r="K145" s="62">
        <v>0.33</v>
      </c>
      <c r="L145" s="62">
        <v>0.35</v>
      </c>
      <c r="M145" s="62">
        <v>0.34</v>
      </c>
      <c r="P145" s="24"/>
      <c r="Q145" s="24"/>
      <c r="R145" s="24"/>
      <c r="S145" s="24"/>
      <c r="T145" s="24"/>
      <c r="U145" s="24"/>
      <c r="V145" s="82"/>
      <c r="W145" s="83"/>
      <c r="X145" s="23"/>
    </row>
    <row r="146" spans="6:24" ht="15" customHeight="1">
      <c r="F146" s="101" t="s">
        <v>42</v>
      </c>
      <c r="G146" s="13" t="s">
        <v>25</v>
      </c>
      <c r="K146" s="62">
        <v>0.18</v>
      </c>
      <c r="L146" s="62">
        <v>0.16</v>
      </c>
      <c r="M146" s="62">
        <v>0.17</v>
      </c>
      <c r="P146" s="24"/>
      <c r="Q146" s="24"/>
      <c r="R146" s="24"/>
      <c r="S146" s="24"/>
      <c r="T146" s="24"/>
      <c r="U146" s="24"/>
      <c r="V146" s="82"/>
      <c r="W146" s="83"/>
      <c r="X146" s="23"/>
    </row>
    <row r="147" spans="6:24" ht="15" customHeight="1">
      <c r="F147" s="101" t="s">
        <v>43</v>
      </c>
      <c r="G147" s="13" t="s">
        <v>44</v>
      </c>
      <c r="K147" s="62">
        <v>0.02</v>
      </c>
      <c r="L147" s="62">
        <v>0.11</v>
      </c>
      <c r="M147" s="62">
        <v>0.075</v>
      </c>
      <c r="P147" s="24"/>
      <c r="Q147" s="24"/>
      <c r="R147" s="24"/>
      <c r="S147" s="24"/>
      <c r="T147" s="24"/>
      <c r="U147" s="24"/>
      <c r="V147" s="82"/>
      <c r="W147" s="83"/>
      <c r="X147" s="23"/>
    </row>
    <row r="148" spans="6:24" ht="15" customHeight="1">
      <c r="F148" s="101" t="s">
        <v>45</v>
      </c>
      <c r="G148" s="13" t="s">
        <v>46</v>
      </c>
      <c r="H148" s="59"/>
      <c r="K148" s="62">
        <v>0.19</v>
      </c>
      <c r="L148" s="62">
        <v>0.12</v>
      </c>
      <c r="M148" s="62">
        <v>0.145</v>
      </c>
      <c r="P148" s="24"/>
      <c r="Q148" s="24"/>
      <c r="R148" s="24"/>
      <c r="S148" s="24"/>
      <c r="T148" s="24"/>
      <c r="U148" s="24"/>
      <c r="V148" s="82"/>
      <c r="W148" s="83"/>
      <c r="X148" s="23"/>
    </row>
    <row r="149" spans="1:24" ht="15" customHeight="1">
      <c r="A149" s="39"/>
      <c r="B149" s="59"/>
      <c r="C149" s="59"/>
      <c r="E149" s="83"/>
      <c r="F149" s="38"/>
      <c r="G149" s="24"/>
      <c r="H149" s="24"/>
      <c r="I149" s="24"/>
      <c r="J149" s="24"/>
      <c r="K149" s="37"/>
      <c r="L149" s="37"/>
      <c r="M149" s="37"/>
      <c r="N149" s="24"/>
      <c r="O149" s="24"/>
      <c r="P149" s="24"/>
      <c r="Q149" s="24"/>
      <c r="R149" s="24"/>
      <c r="S149" s="24"/>
      <c r="T149" s="24"/>
      <c r="U149" s="24"/>
      <c r="V149" s="82"/>
      <c r="W149" s="83"/>
      <c r="X149" s="83"/>
    </row>
    <row r="150" spans="1:25" s="59" customFormat="1" ht="15" customHeight="1">
      <c r="A150" s="39"/>
      <c r="E150" s="83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6"/>
      <c r="Y150" s="77"/>
    </row>
    <row r="151" spans="1:25" s="59" customFormat="1" ht="15" customHeight="1">
      <c r="A151" s="39"/>
      <c r="E151" s="83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6"/>
      <c r="Y151" s="77"/>
    </row>
    <row r="152" spans="1:25" s="59" customFormat="1" ht="15" customHeight="1">
      <c r="A152" s="39"/>
      <c r="B152" s="86"/>
      <c r="E152" s="83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6"/>
      <c r="Y152" s="77"/>
    </row>
    <row r="157" spans="1:25" s="59" customFormat="1" ht="15" customHeight="1">
      <c r="A157" s="39"/>
      <c r="B157" s="148" t="s">
        <v>75</v>
      </c>
      <c r="C157" s="149"/>
      <c r="D157" s="149"/>
      <c r="E157" s="83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35"/>
      <c r="W157" s="35"/>
      <c r="X157" s="36"/>
      <c r="Y157" s="77"/>
    </row>
    <row r="158" spans="1:25" s="59" customFormat="1" ht="15" customHeight="1">
      <c r="A158" s="39"/>
      <c r="B158" s="149"/>
      <c r="C158" s="149"/>
      <c r="D158" s="149"/>
      <c r="E158" s="83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6"/>
      <c r="Y158" s="77"/>
    </row>
    <row r="159" spans="1:25" s="59" customFormat="1" ht="15">
      <c r="A159" s="39">
        <f>A139-1</f>
        <v>-99</v>
      </c>
      <c r="B159" s="59" t="str">
        <f>"Gross equity extraction [("&amp;-1*A29&amp;")]"</f>
        <v>Gross equity extraction [(18)]</v>
      </c>
      <c r="C159" s="33"/>
      <c r="D159" s="33"/>
      <c r="E159" s="33"/>
      <c r="F159" s="21">
        <v>116.31283269681002</v>
      </c>
      <c r="G159" s="21">
        <v>117.67832034507471</v>
      </c>
      <c r="H159" s="21">
        <v>110.17926402435131</v>
      </c>
      <c r="I159" s="21">
        <v>106.51139310949571</v>
      </c>
      <c r="J159" s="21">
        <v>119.88265555170189</v>
      </c>
      <c r="K159" s="21">
        <v>154.15247160274458</v>
      </c>
      <c r="L159" s="21">
        <v>172.88351152266762</v>
      </c>
      <c r="M159" s="21">
        <v>283.03796791880546</v>
      </c>
      <c r="N159" s="21">
        <v>316.94240591985135</v>
      </c>
      <c r="O159" s="21">
        <v>303.2769610733633</v>
      </c>
      <c r="P159" s="21">
        <v>413.7167054142463</v>
      </c>
      <c r="Q159" s="21">
        <v>611.0875861921104</v>
      </c>
      <c r="R159" s="21">
        <v>656.1052927023835</v>
      </c>
      <c r="S159" s="21">
        <v>899.2651781187374</v>
      </c>
      <c r="T159" s="21">
        <v>907.7800377149573</v>
      </c>
      <c r="U159" s="21">
        <v>646.0520681002796</v>
      </c>
      <c r="V159" s="83"/>
      <c r="W159" s="22">
        <f>AVERAGE(F159:O159)</f>
        <v>180.08577837648662</v>
      </c>
      <c r="X159" s="23">
        <f>AVERAGE(P159:T159)</f>
        <v>697.590960028487</v>
      </c>
      <c r="Y159" s="66">
        <f>AVERAGE(F159:T159)</f>
        <v>352.5875055938201</v>
      </c>
    </row>
    <row r="160" spans="1:25" s="59" customFormat="1" ht="15">
      <c r="A160" s="39">
        <f>A159-1</f>
        <v>-100</v>
      </c>
      <c r="B160" s="59" t="str">
        <f>"   Net equity extraction [("&amp;-1*A6&amp;")-("&amp;-1*A27&amp;")]"</f>
        <v>   Net equity extraction [(1)-(17)]</v>
      </c>
      <c r="C160" s="33"/>
      <c r="D160" s="33"/>
      <c r="E160" s="33"/>
      <c r="F160" s="21">
        <v>74.19098210770659</v>
      </c>
      <c r="G160" s="21">
        <v>67.54175703452937</v>
      </c>
      <c r="H160" s="21">
        <v>59.48539713758744</v>
      </c>
      <c r="I160" s="21">
        <v>63.63764486000205</v>
      </c>
      <c r="J160" s="21">
        <v>82.73823069556568</v>
      </c>
      <c r="K160" s="21">
        <v>106.40492482455656</v>
      </c>
      <c r="L160" s="21">
        <v>123.23557795309976</v>
      </c>
      <c r="M160" s="21">
        <v>213.63764284540494</v>
      </c>
      <c r="N160" s="21">
        <v>243.24655693024175</v>
      </c>
      <c r="O160" s="21">
        <v>229.6160904764006</v>
      </c>
      <c r="P160" s="21">
        <v>317.647302562844</v>
      </c>
      <c r="Q160" s="21">
        <v>494.3172684217641</v>
      </c>
      <c r="R160" s="21">
        <v>504.36067452646546</v>
      </c>
      <c r="S160" s="21">
        <v>754.5278385873041</v>
      </c>
      <c r="T160" s="21">
        <v>738.4870116050975</v>
      </c>
      <c r="U160" s="21">
        <v>499.04635202338284</v>
      </c>
      <c r="V160" s="83"/>
      <c r="W160" s="22">
        <f>AVERAGE(F160:O160)</f>
        <v>126.37348048650946</v>
      </c>
      <c r="X160" s="23">
        <f>AVERAGE(P160:T160)</f>
        <v>561.868019140695</v>
      </c>
      <c r="Y160" s="66">
        <f>AVERAGE(F160:T160)</f>
        <v>271.5383267045713</v>
      </c>
    </row>
    <row r="161" spans="1:25" s="59" customFormat="1" ht="15">
      <c r="A161" s="39">
        <f>A160-1</f>
        <v>-101</v>
      </c>
      <c r="B161" s="59" t="s">
        <v>47</v>
      </c>
      <c r="C161" s="33"/>
      <c r="D161" s="33"/>
      <c r="E161" s="33"/>
      <c r="F161" s="103">
        <f aca="true" t="shared" si="52" ref="F161:U161">100*F160/F166</f>
        <v>1.6618726812200475</v>
      </c>
      <c r="G161" s="103">
        <f t="shared" si="52"/>
        <v>1.4215002892356394</v>
      </c>
      <c r="H161" s="103">
        <f t="shared" si="52"/>
        <v>1.2110342559999072</v>
      </c>
      <c r="I161" s="103">
        <f t="shared" si="52"/>
        <v>1.2352406959971023</v>
      </c>
      <c r="J161" s="103">
        <f t="shared" si="52"/>
        <v>1.5298521831565788</v>
      </c>
      <c r="K161" s="103">
        <f t="shared" si="52"/>
        <v>1.8705378981662877</v>
      </c>
      <c r="L161" s="103">
        <f t="shared" si="52"/>
        <v>2.057756011795838</v>
      </c>
      <c r="M161" s="103">
        <f t="shared" si="52"/>
        <v>3.340210594941655</v>
      </c>
      <c r="N161" s="103">
        <f t="shared" si="52"/>
        <v>3.6332796235511813</v>
      </c>
      <c r="O161" s="103">
        <f t="shared" si="52"/>
        <v>3.191757388897288</v>
      </c>
      <c r="P161" s="103">
        <f t="shared" si="52"/>
        <v>4.242741020917953</v>
      </c>
      <c r="Q161" s="103">
        <f t="shared" si="52"/>
        <v>6.313059177872039</v>
      </c>
      <c r="R161" s="103">
        <f t="shared" si="52"/>
        <v>6.178978619072718</v>
      </c>
      <c r="S161" s="103">
        <f t="shared" si="52"/>
        <v>8.691156698103978</v>
      </c>
      <c r="T161" s="103">
        <f t="shared" si="52"/>
        <v>8.172629913403986</v>
      </c>
      <c r="U161" s="103">
        <f t="shared" si="52"/>
        <v>5.240367933012647</v>
      </c>
      <c r="V161" s="104"/>
      <c r="W161" s="103">
        <f>AVERAGE(F161:O161)</f>
        <v>2.1153041622961526</v>
      </c>
      <c r="X161" s="105">
        <f>AVERAGE(P161:T161)</f>
        <v>6.719713085874135</v>
      </c>
      <c r="Y161" s="106">
        <f>AVERAGE(F161:T161)</f>
        <v>3.6501071368221463</v>
      </c>
    </row>
    <row r="162" spans="1:25" s="59" customFormat="1" ht="15">
      <c r="A162" s="39"/>
      <c r="C162" s="33"/>
      <c r="D162" s="33"/>
      <c r="E162" s="3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4"/>
      <c r="W162" s="103"/>
      <c r="X162" s="105"/>
      <c r="Y162" s="106"/>
    </row>
    <row r="163" spans="1:25" s="59" customFormat="1" ht="15">
      <c r="A163" s="39">
        <f>A161-1</f>
        <v>-102</v>
      </c>
      <c r="B163" s="59" t="str">
        <f>"Free cash generated by equity extraction [("&amp;-1*A6&amp;")]"</f>
        <v>Free cash generated by equity extraction [(1)]</v>
      </c>
      <c r="C163" s="33"/>
      <c r="D163" s="33"/>
      <c r="E163" s="33"/>
      <c r="F163" s="22">
        <f aca="true" t="shared" si="53" ref="F163:T163">F6</f>
        <v>262.16287443860955</v>
      </c>
      <c r="G163" s="22">
        <f t="shared" si="53"/>
        <v>212.15626467850646</v>
      </c>
      <c r="H163" s="22">
        <f t="shared" si="53"/>
        <v>193.15766273407522</v>
      </c>
      <c r="I163" s="22">
        <f t="shared" si="53"/>
        <v>223.37760148388546</v>
      </c>
      <c r="J163" s="22">
        <f t="shared" si="53"/>
        <v>184.53079643085312</v>
      </c>
      <c r="K163" s="22">
        <f t="shared" si="53"/>
        <v>277.05180012794057</v>
      </c>
      <c r="L163" s="22">
        <f t="shared" si="53"/>
        <v>276.01964789762155</v>
      </c>
      <c r="M163" s="22">
        <f t="shared" si="53"/>
        <v>346.8903464664327</v>
      </c>
      <c r="N163" s="22">
        <f t="shared" si="53"/>
        <v>467.2447270906874</v>
      </c>
      <c r="O163" s="22">
        <f t="shared" si="53"/>
        <v>553.376988625175</v>
      </c>
      <c r="P163" s="22">
        <f t="shared" si="53"/>
        <v>626.8696374042258</v>
      </c>
      <c r="Q163" s="22">
        <f t="shared" si="53"/>
        <v>755.9897877124104</v>
      </c>
      <c r="R163" s="22">
        <f t="shared" si="53"/>
        <v>1000.8458752126016</v>
      </c>
      <c r="S163" s="22">
        <f t="shared" si="53"/>
        <v>1165.1255730653904</v>
      </c>
      <c r="T163" s="22">
        <f t="shared" si="53"/>
        <v>1423.0608457064995</v>
      </c>
      <c r="U163" s="22">
        <f>U6</f>
        <v>1126.1868309784347</v>
      </c>
      <c r="V163" s="104"/>
      <c r="W163" s="22">
        <f>AVERAGE(F163:O163)</f>
        <v>299.59687099737874</v>
      </c>
      <c r="X163" s="23">
        <f>AVERAGE(P163:T163)</f>
        <v>994.3783438202256</v>
      </c>
      <c r="Y163" s="66">
        <f>AVERAGE(F163:T163)</f>
        <v>531.1906952716611</v>
      </c>
    </row>
    <row r="164" spans="1:25" s="59" customFormat="1" ht="15">
      <c r="A164" s="39">
        <f>A163-1</f>
        <v>-103</v>
      </c>
      <c r="B164" s="59" t="s">
        <v>48</v>
      </c>
      <c r="C164" s="33"/>
      <c r="D164" s="33"/>
      <c r="E164" s="33"/>
      <c r="F164" s="103">
        <f aca="true" t="shared" si="54" ref="F164:U164">100*F163/F166</f>
        <v>5.872429595650147</v>
      </c>
      <c r="G164" s="103">
        <f t="shared" si="54"/>
        <v>4.465092482706261</v>
      </c>
      <c r="H164" s="103">
        <f t="shared" si="54"/>
        <v>3.9324028692082615</v>
      </c>
      <c r="I164" s="103">
        <f t="shared" si="54"/>
        <v>4.335878622380387</v>
      </c>
      <c r="J164" s="103">
        <f t="shared" si="54"/>
        <v>3.4120241562585516</v>
      </c>
      <c r="K164" s="103">
        <f t="shared" si="54"/>
        <v>4.870412650062827</v>
      </c>
      <c r="L164" s="103">
        <f t="shared" si="54"/>
        <v>4.608905149544233</v>
      </c>
      <c r="M164" s="103">
        <f t="shared" si="54"/>
        <v>5.423607914400286</v>
      </c>
      <c r="N164" s="103">
        <f t="shared" si="54"/>
        <v>6.9790535478665525</v>
      </c>
      <c r="O164" s="103">
        <f t="shared" si="54"/>
        <v>7.692166035165832</v>
      </c>
      <c r="P164" s="103">
        <f t="shared" si="54"/>
        <v>8.37295171066873</v>
      </c>
      <c r="Q164" s="103">
        <f t="shared" si="54"/>
        <v>9.654949508304968</v>
      </c>
      <c r="R164" s="103">
        <f t="shared" si="54"/>
        <v>12.261473933771738</v>
      </c>
      <c r="S164" s="103">
        <f t="shared" si="54"/>
        <v>13.420696242883318</v>
      </c>
      <c r="T164" s="103">
        <f t="shared" si="54"/>
        <v>15.748617718999345</v>
      </c>
      <c r="U164" s="103">
        <f t="shared" si="54"/>
        <v>11.82582205382798</v>
      </c>
      <c r="V164" s="104"/>
      <c r="W164" s="103">
        <f>AVERAGE(F164:O164)</f>
        <v>5.159197302324333</v>
      </c>
      <c r="X164" s="105">
        <f>AVERAGE(P164:T164)</f>
        <v>11.89173782292562</v>
      </c>
      <c r="Y164" s="106">
        <f>AVERAGE(F164:T164)</f>
        <v>7.403377475858096</v>
      </c>
    </row>
    <row r="165" spans="1:25" s="59" customFormat="1" ht="15">
      <c r="A165" s="39"/>
      <c r="C165" s="33"/>
      <c r="D165" s="33"/>
      <c r="E165" s="3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4"/>
      <c r="W165" s="103"/>
      <c r="X165" s="105"/>
      <c r="Y165" s="106"/>
    </row>
    <row r="166" spans="1:25" s="59" customFormat="1" ht="15">
      <c r="A166" s="39">
        <f>A164-1</f>
        <v>-104</v>
      </c>
      <c r="B166" s="59" t="s">
        <v>49</v>
      </c>
      <c r="C166" s="33"/>
      <c r="D166" s="33"/>
      <c r="E166" s="33"/>
      <c r="F166" s="21">
        <v>4464.3</v>
      </c>
      <c r="G166" s="21">
        <v>4751.4416666666675</v>
      </c>
      <c r="H166" s="21">
        <v>4911.95</v>
      </c>
      <c r="I166" s="21">
        <v>5151.841666666666</v>
      </c>
      <c r="J166" s="21">
        <v>5408.25</v>
      </c>
      <c r="K166" s="21">
        <v>5688.466666666667</v>
      </c>
      <c r="L166" s="21">
        <v>5988.833333333334</v>
      </c>
      <c r="M166" s="21">
        <v>6395.933333333333</v>
      </c>
      <c r="N166" s="21">
        <v>6694.958333333333</v>
      </c>
      <c r="O166" s="21">
        <v>7194.033333333334</v>
      </c>
      <c r="P166" s="21">
        <v>7486.841666666666</v>
      </c>
      <c r="Q166" s="21">
        <v>7830.075000000001</v>
      </c>
      <c r="R166" s="21">
        <v>8162.525000000001</v>
      </c>
      <c r="S166" s="21">
        <v>8681.558333333334</v>
      </c>
      <c r="T166" s="21">
        <v>9036.1</v>
      </c>
      <c r="U166" s="21">
        <v>9523.116666666667</v>
      </c>
      <c r="V166" s="83"/>
      <c r="W166" s="22">
        <f>AVERAGE(F166:O166)</f>
        <v>5665.0008333333335</v>
      </c>
      <c r="X166" s="23">
        <f>AVERAGE(P166:T166)</f>
        <v>8239.420000000002</v>
      </c>
      <c r="Y166" s="66">
        <f>AVERAGE(F166:T166)</f>
        <v>6523.140555555556</v>
      </c>
    </row>
    <row r="167" spans="1:25" s="59" customFormat="1" ht="15">
      <c r="A167" s="39">
        <f>A166-1</f>
        <v>-105</v>
      </c>
      <c r="B167" s="59" t="s">
        <v>50</v>
      </c>
      <c r="F167" s="21">
        <v>324.1515</v>
      </c>
      <c r="G167" s="21">
        <v>366.04775</v>
      </c>
      <c r="H167" s="21">
        <v>284.04825</v>
      </c>
      <c r="I167" s="21">
        <v>249.4625</v>
      </c>
      <c r="J167" s="21">
        <v>250.94424999999998</v>
      </c>
      <c r="K167" s="21">
        <v>228.4205</v>
      </c>
      <c r="L167" s="21">
        <v>218.31775</v>
      </c>
      <c r="M167" s="21">
        <v>276.7855</v>
      </c>
      <c r="N167" s="21">
        <v>158.56</v>
      </c>
      <c r="O167" s="21">
        <v>168.4525</v>
      </c>
      <c r="P167" s="21">
        <v>132.34975</v>
      </c>
      <c r="Q167" s="21">
        <v>184.74025</v>
      </c>
      <c r="R167" s="21">
        <v>174.86925</v>
      </c>
      <c r="S167" s="21">
        <v>174.34875</v>
      </c>
      <c r="T167" s="21">
        <v>-34.84525</v>
      </c>
      <c r="U167" s="21">
        <v>-102.08225</v>
      </c>
      <c r="V167" s="83"/>
      <c r="W167" s="22">
        <f>AVERAGE(F167:O167)</f>
        <v>252.51904999999996</v>
      </c>
      <c r="X167" s="23">
        <f>AVERAGE(P167:T167)</f>
        <v>126.29255</v>
      </c>
      <c r="Y167" s="66">
        <f>AVERAGE(F167:T167)</f>
        <v>210.44355</v>
      </c>
    </row>
    <row r="168" spans="1:25" s="59" customFormat="1" ht="15">
      <c r="A168" s="39">
        <f>A167-1</f>
        <v>-106</v>
      </c>
      <c r="B168" s="59" t="s">
        <v>51</v>
      </c>
      <c r="F168" s="106">
        <f aca="true" t="shared" si="55" ref="F168:U168">100*F167/F166</f>
        <v>7.260970364894832</v>
      </c>
      <c r="G168" s="106">
        <f t="shared" si="55"/>
        <v>7.703930210655361</v>
      </c>
      <c r="H168" s="106">
        <f t="shared" si="55"/>
        <v>5.782800109935973</v>
      </c>
      <c r="I168" s="106">
        <f t="shared" si="55"/>
        <v>4.842200442883694</v>
      </c>
      <c r="J168" s="106">
        <f t="shared" si="55"/>
        <v>4.6400268108907685</v>
      </c>
      <c r="K168" s="106">
        <f t="shared" si="55"/>
        <v>4.015502127110996</v>
      </c>
      <c r="L168" s="106">
        <f t="shared" si="55"/>
        <v>3.6454136865833626</v>
      </c>
      <c r="M168" s="106">
        <f t="shared" si="55"/>
        <v>4.327523217878027</v>
      </c>
      <c r="N168" s="106">
        <f t="shared" si="55"/>
        <v>2.368349317583505</v>
      </c>
      <c r="O168" s="106">
        <f t="shared" si="55"/>
        <v>2.341558513768354</v>
      </c>
      <c r="P168" s="106">
        <f t="shared" si="55"/>
        <v>1.767764778427931</v>
      </c>
      <c r="Q168" s="106">
        <f t="shared" si="55"/>
        <v>2.3593675667219025</v>
      </c>
      <c r="R168" s="106">
        <f t="shared" si="55"/>
        <v>2.142342596194192</v>
      </c>
      <c r="S168" s="106">
        <f t="shared" si="55"/>
        <v>2.008265605157292</v>
      </c>
      <c r="T168" s="106">
        <f t="shared" si="55"/>
        <v>-0.3856226690718342</v>
      </c>
      <c r="U168" s="106">
        <f t="shared" si="55"/>
        <v>-1.0719416087520368</v>
      </c>
      <c r="V168" s="104"/>
      <c r="W168" s="103">
        <f>AVERAGE(F168:O168)</f>
        <v>4.6928274802184875</v>
      </c>
      <c r="X168" s="105">
        <f>AVERAGE(P168:T168)</f>
        <v>1.5784235754858966</v>
      </c>
      <c r="Y168" s="106">
        <f>AVERAGE(F168:T168)</f>
        <v>3.6546928453076233</v>
      </c>
    </row>
    <row r="169" spans="1:25" s="59" customFormat="1" ht="15">
      <c r="A169" s="39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4"/>
      <c r="W169" s="103"/>
      <c r="X169" s="105"/>
      <c r="Y169" s="106"/>
    </row>
    <row r="170" spans="1:25" s="59" customFormat="1" ht="15" customHeight="1">
      <c r="A170" s="39"/>
      <c r="B170" s="59" t="s">
        <v>52</v>
      </c>
      <c r="E170" s="6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4"/>
      <c r="W170" s="103"/>
      <c r="X170" s="105"/>
      <c r="Y170" s="106"/>
    </row>
    <row r="171" spans="1:25" s="59" customFormat="1" ht="15" customHeight="1">
      <c r="A171" s="43">
        <f>A168-1</f>
        <v>-107</v>
      </c>
      <c r="B171" s="59" t="str">
        <f>"Direct effects [("&amp;-1*A16&amp;")]"</f>
        <v>Direct effects [(9)]</v>
      </c>
      <c r="E171" s="66"/>
      <c r="F171" s="90">
        <f aca="true" t="shared" si="56" ref="F171:T171">F16</f>
        <v>26.282182355060794</v>
      </c>
      <c r="G171" s="90">
        <f t="shared" si="56"/>
        <v>21.299024101329213</v>
      </c>
      <c r="H171" s="90">
        <f t="shared" si="56"/>
        <v>19.258218091747594</v>
      </c>
      <c r="I171" s="90">
        <f t="shared" si="56"/>
        <v>22.844420492730865</v>
      </c>
      <c r="J171" s="90">
        <f t="shared" si="56"/>
        <v>19.63627397953788</v>
      </c>
      <c r="K171" s="90">
        <f t="shared" si="56"/>
        <v>30.22511320263799</v>
      </c>
      <c r="L171" s="90">
        <f t="shared" si="56"/>
        <v>32.44178764140942</v>
      </c>
      <c r="M171" s="90">
        <f t="shared" si="56"/>
        <v>37.50854339294013</v>
      </c>
      <c r="N171" s="90">
        <f t="shared" si="56"/>
        <v>51.145689703043466</v>
      </c>
      <c r="O171" s="90">
        <f t="shared" si="56"/>
        <v>64.28313046214595</v>
      </c>
      <c r="P171" s="90">
        <f t="shared" si="56"/>
        <v>79.23242339037024</v>
      </c>
      <c r="Q171" s="90">
        <f t="shared" si="56"/>
        <v>101.08373461546961</v>
      </c>
      <c r="R171" s="90">
        <f t="shared" si="56"/>
        <v>133.44706927868026</v>
      </c>
      <c r="S171" s="90">
        <f t="shared" si="56"/>
        <v>169.95293070313627</v>
      </c>
      <c r="T171" s="90">
        <f t="shared" si="56"/>
        <v>182.1621905305797</v>
      </c>
      <c r="U171" s="90">
        <f>U16</f>
        <v>147.70488630176058</v>
      </c>
      <c r="V171" s="104"/>
      <c r="W171" s="22">
        <f>AVERAGE(F171:O171)</f>
        <v>32.49243834225833</v>
      </c>
      <c r="X171" s="23">
        <f>AVERAGE(P171:T171)</f>
        <v>133.1756697036472</v>
      </c>
      <c r="Y171" s="66">
        <f>AVERAGE(F171:T171)</f>
        <v>66.0535154627213</v>
      </c>
    </row>
    <row r="172" spans="1:25" s="59" customFormat="1" ht="15" customHeight="1">
      <c r="A172" s="43">
        <f>A171-1</f>
        <v>-108</v>
      </c>
      <c r="B172" s="13" t="s">
        <v>53</v>
      </c>
      <c r="E172" s="66"/>
      <c r="F172" s="107">
        <f aca="true" t="shared" si="57" ref="F172:U172">100*F171/F$166</f>
        <v>0.588719000852559</v>
      </c>
      <c r="G172" s="107">
        <f t="shared" si="57"/>
        <v>0.4482644552021062</v>
      </c>
      <c r="H172" s="107">
        <f t="shared" si="57"/>
        <v>0.3920686914921283</v>
      </c>
      <c r="I172" s="107">
        <f t="shared" si="57"/>
        <v>0.4434224102914175</v>
      </c>
      <c r="J172" s="107">
        <f t="shared" si="57"/>
        <v>0.36307999777262295</v>
      </c>
      <c r="K172" s="107">
        <f t="shared" si="57"/>
        <v>0.5313402534245547</v>
      </c>
      <c r="L172" s="107">
        <f t="shared" si="57"/>
        <v>0.5417046332019494</v>
      </c>
      <c r="M172" s="107">
        <f t="shared" si="57"/>
        <v>0.586443626569072</v>
      </c>
      <c r="N172" s="107">
        <f t="shared" si="57"/>
        <v>0.7639433609077995</v>
      </c>
      <c r="O172" s="107">
        <f t="shared" si="57"/>
        <v>0.8935617543540147</v>
      </c>
      <c r="P172" s="107">
        <f t="shared" si="57"/>
        <v>1.0582890211654035</v>
      </c>
      <c r="Q172" s="107">
        <f t="shared" si="57"/>
        <v>1.2909676422699603</v>
      </c>
      <c r="R172" s="107">
        <f t="shared" si="57"/>
        <v>1.6348748613778243</v>
      </c>
      <c r="S172" s="107">
        <f t="shared" si="57"/>
        <v>1.957631616095838</v>
      </c>
      <c r="T172" s="107">
        <f t="shared" si="57"/>
        <v>2.0159381871668054</v>
      </c>
      <c r="U172" s="107">
        <f t="shared" si="57"/>
        <v>1.5510141424473491</v>
      </c>
      <c r="V172" s="83"/>
      <c r="W172" s="103">
        <f>AVERAGE(F172:O172)</f>
        <v>0.5552548184068224</v>
      </c>
      <c r="X172" s="105">
        <f>AVERAGE(P172:T172)</f>
        <v>1.5915402656151663</v>
      </c>
      <c r="Y172" s="106">
        <f>AVERAGE(F172:T172)</f>
        <v>0.9006833008096037</v>
      </c>
    </row>
    <row r="173" spans="1:25" s="59" customFormat="1" ht="15" customHeight="1">
      <c r="A173" s="43">
        <f>A172-1</f>
        <v>-109</v>
      </c>
      <c r="B173" s="13" t="str">
        <f>"Direct effects plus repayment of non-mortgage debt [("&amp;-1*A22&amp;")]"</f>
        <v>Direct effects plus repayment of non-mortgage debt [(12)]</v>
      </c>
      <c r="C173" s="13"/>
      <c r="D173" s="13"/>
      <c r="E173" s="13"/>
      <c r="F173" s="24">
        <f aca="true" t="shared" si="58" ref="F173:T173">F22</f>
        <v>38.38051076500089</v>
      </c>
      <c r="G173" s="24">
        <f t="shared" si="58"/>
        <v>32.63278648147133</v>
      </c>
      <c r="H173" s="24">
        <f t="shared" si="58"/>
        <v>31.759479523846352</v>
      </c>
      <c r="I173" s="24">
        <f t="shared" si="58"/>
        <v>41.43188992703678</v>
      </c>
      <c r="J173" s="24">
        <f t="shared" si="58"/>
        <v>35.78392221615594</v>
      </c>
      <c r="K173" s="24">
        <f t="shared" si="58"/>
        <v>54.975272043950255</v>
      </c>
      <c r="L173" s="24">
        <f t="shared" si="58"/>
        <v>61.376456682624074</v>
      </c>
      <c r="M173" s="24">
        <f t="shared" si="58"/>
        <v>70.04262418963887</v>
      </c>
      <c r="N173" s="24">
        <f t="shared" si="58"/>
        <v>90.7874144557154</v>
      </c>
      <c r="O173" s="24">
        <f t="shared" si="58"/>
        <v>119.4118261353673</v>
      </c>
      <c r="P173" s="24">
        <f t="shared" si="58"/>
        <v>140.73078368616683</v>
      </c>
      <c r="Q173" s="24">
        <f t="shared" si="58"/>
        <v>172.06728273903576</v>
      </c>
      <c r="R173" s="24">
        <f t="shared" si="58"/>
        <v>226.9621432940749</v>
      </c>
      <c r="S173" s="24">
        <f t="shared" si="58"/>
        <v>294.17705376231623</v>
      </c>
      <c r="T173" s="24">
        <f t="shared" si="58"/>
        <v>325.76942911061707</v>
      </c>
      <c r="U173" s="24">
        <f>U22</f>
        <v>272.7665614408924</v>
      </c>
      <c r="V173" s="83"/>
      <c r="W173" s="22">
        <f>AVERAGE(F173:O173)</f>
        <v>57.658218242080714</v>
      </c>
      <c r="X173" s="23">
        <f>AVERAGE(P173:T173)</f>
        <v>231.94133851844217</v>
      </c>
      <c r="Y173" s="66">
        <f>AVERAGE(F173:T173)</f>
        <v>115.75259166753453</v>
      </c>
    </row>
    <row r="174" spans="1:25" s="59" customFormat="1" ht="15" customHeight="1">
      <c r="A174" s="43">
        <f>A173-1</f>
        <v>-110</v>
      </c>
      <c r="B174" s="13" t="s">
        <v>53</v>
      </c>
      <c r="C174" s="13"/>
      <c r="D174" s="13"/>
      <c r="E174" s="13"/>
      <c r="F174" s="107">
        <f aca="true" t="shared" si="59" ref="F174:U174">100*F173/F$166</f>
        <v>0.8597206900298118</v>
      </c>
      <c r="G174" s="107">
        <f t="shared" si="59"/>
        <v>0.686797582098163</v>
      </c>
      <c r="H174" s="107">
        <f t="shared" si="59"/>
        <v>0.6465757901413156</v>
      </c>
      <c r="I174" s="107">
        <f t="shared" si="59"/>
        <v>0.8042151255367278</v>
      </c>
      <c r="J174" s="107">
        <f t="shared" si="59"/>
        <v>0.6616543653890989</v>
      </c>
      <c r="K174" s="107">
        <f t="shared" si="59"/>
        <v>0.9664339314159103</v>
      </c>
      <c r="L174" s="107">
        <f t="shared" si="59"/>
        <v>1.0248483012711</v>
      </c>
      <c r="M174" s="107">
        <f t="shared" si="59"/>
        <v>1.0951118552878216</v>
      </c>
      <c r="N174" s="107">
        <f t="shared" si="59"/>
        <v>1.3560564522664256</v>
      </c>
      <c r="O174" s="107">
        <f t="shared" si="59"/>
        <v>1.6598731282224708</v>
      </c>
      <c r="P174" s="107">
        <f t="shared" si="59"/>
        <v>1.879708292920582</v>
      </c>
      <c r="Q174" s="107">
        <f t="shared" si="59"/>
        <v>2.197517683279352</v>
      </c>
      <c r="R174" s="107">
        <f t="shared" si="59"/>
        <v>2.780538415429967</v>
      </c>
      <c r="S174" s="107">
        <f t="shared" si="59"/>
        <v>3.3885282165623054</v>
      </c>
      <c r="T174" s="107">
        <f t="shared" si="59"/>
        <v>3.605199467808204</v>
      </c>
      <c r="U174" s="107">
        <f t="shared" si="59"/>
        <v>2.8642572698457514</v>
      </c>
      <c r="V174" s="83"/>
      <c r="W174" s="103">
        <f>AVERAGE(F174:O174)</f>
        <v>0.9761287221658845</v>
      </c>
      <c r="X174" s="105">
        <f>AVERAGE(P174:T174)</f>
        <v>2.770298415200082</v>
      </c>
      <c r="Y174" s="106">
        <f>AVERAGE(F174:T174)</f>
        <v>1.5741852865106172</v>
      </c>
    </row>
    <row r="175" spans="1:25" s="59" customFormat="1" ht="15" customHeight="1">
      <c r="A175" s="43"/>
      <c r="B175" s="13"/>
      <c r="C175" s="13"/>
      <c r="D175" s="13"/>
      <c r="E175" s="13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83"/>
      <c r="W175" s="103"/>
      <c r="X175" s="105"/>
      <c r="Y175" s="106"/>
    </row>
    <row r="176" spans="1:25" s="59" customFormat="1" ht="15" customHeight="1">
      <c r="A176" s="43"/>
      <c r="B176" s="13" t="s">
        <v>54</v>
      </c>
      <c r="C176" s="13"/>
      <c r="D176" s="13"/>
      <c r="E176" s="13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83"/>
      <c r="W176" s="103"/>
      <c r="X176" s="105"/>
      <c r="Y176" s="106"/>
    </row>
    <row r="177" spans="1:25" ht="15">
      <c r="A177" s="43">
        <f>A174-1</f>
        <v>-111</v>
      </c>
      <c r="B177" s="13" t="str">
        <f>"   Direct PCE effect [("&amp;-1*A167&amp;")+("&amp;-1*A171&amp;")]"</f>
        <v>   Direct PCE effect [(105)+(107)]</v>
      </c>
      <c r="F177" s="45">
        <f aca="true" t="shared" si="60" ref="F177:T177">F167+F171</f>
        <v>350.4336823550608</v>
      </c>
      <c r="G177" s="45">
        <f t="shared" si="60"/>
        <v>387.34677410132923</v>
      </c>
      <c r="H177" s="45">
        <f t="shared" si="60"/>
        <v>303.3064680917476</v>
      </c>
      <c r="I177" s="45">
        <f t="shared" si="60"/>
        <v>272.30692049273085</v>
      </c>
      <c r="J177" s="45">
        <f t="shared" si="60"/>
        <v>270.5805239795379</v>
      </c>
      <c r="K177" s="45">
        <f t="shared" si="60"/>
        <v>258.645613202638</v>
      </c>
      <c r="L177" s="45">
        <f t="shared" si="60"/>
        <v>250.7595376414094</v>
      </c>
      <c r="M177" s="45">
        <f t="shared" si="60"/>
        <v>314.2940433929401</v>
      </c>
      <c r="N177" s="45">
        <f t="shared" si="60"/>
        <v>209.70568970304348</v>
      </c>
      <c r="O177" s="45">
        <f t="shared" si="60"/>
        <v>232.73563046214593</v>
      </c>
      <c r="P177" s="45">
        <f t="shared" si="60"/>
        <v>211.58217339037026</v>
      </c>
      <c r="Q177" s="45">
        <f t="shared" si="60"/>
        <v>285.8239846154696</v>
      </c>
      <c r="R177" s="45">
        <f t="shared" si="60"/>
        <v>308.3163192786802</v>
      </c>
      <c r="S177" s="45">
        <f t="shared" si="60"/>
        <v>344.3016807031363</v>
      </c>
      <c r="T177" s="45">
        <f t="shared" si="60"/>
        <v>147.3169405305797</v>
      </c>
      <c r="U177" s="45">
        <f>U167+U171</f>
        <v>45.62263630176058</v>
      </c>
      <c r="V177" s="45"/>
      <c r="W177" s="22">
        <f>AVERAGE(F177:O177)</f>
        <v>285.0114883422583</v>
      </c>
      <c r="X177" s="23">
        <f>AVERAGE(P177:T177)</f>
        <v>259.46821970364726</v>
      </c>
      <c r="Y177" s="66">
        <f>AVERAGE(F177:T177)</f>
        <v>276.4970654627213</v>
      </c>
    </row>
    <row r="178" spans="1:25" ht="15">
      <c r="A178" s="43">
        <f>A177-1</f>
        <v>-112</v>
      </c>
      <c r="B178" s="13" t="str">
        <f>"      Repayment of non-mortgage debt [("&amp;-1*A167&amp;")+("&amp;-1*A173&amp;")]"</f>
        <v>      Repayment of non-mortgage debt [(105)+(109)]</v>
      </c>
      <c r="F178" s="45">
        <f aca="true" t="shared" si="61" ref="F178:T178">F167+F173</f>
        <v>362.5320107650009</v>
      </c>
      <c r="G178" s="45">
        <f t="shared" si="61"/>
        <v>398.68053648147134</v>
      </c>
      <c r="H178" s="45">
        <f t="shared" si="61"/>
        <v>315.8077295238463</v>
      </c>
      <c r="I178" s="45">
        <f t="shared" si="61"/>
        <v>290.8943899270368</v>
      </c>
      <c r="J178" s="45">
        <f t="shared" si="61"/>
        <v>286.72817221615594</v>
      </c>
      <c r="K178" s="45">
        <f t="shared" si="61"/>
        <v>283.3957720439503</v>
      </c>
      <c r="L178" s="45">
        <f t="shared" si="61"/>
        <v>279.69420668262404</v>
      </c>
      <c r="M178" s="45">
        <f t="shared" si="61"/>
        <v>346.82812418963886</v>
      </c>
      <c r="N178" s="45">
        <f t="shared" si="61"/>
        <v>249.3474144557154</v>
      </c>
      <c r="O178" s="45">
        <f t="shared" si="61"/>
        <v>287.86432613536726</v>
      </c>
      <c r="P178" s="45">
        <f t="shared" si="61"/>
        <v>273.08053368616686</v>
      </c>
      <c r="Q178" s="45">
        <f t="shared" si="61"/>
        <v>356.80753273903576</v>
      </c>
      <c r="R178" s="45">
        <f t="shared" si="61"/>
        <v>401.8313932940749</v>
      </c>
      <c r="S178" s="45">
        <f t="shared" si="61"/>
        <v>468.52580376231623</v>
      </c>
      <c r="T178" s="45">
        <f t="shared" si="61"/>
        <v>290.92417911061705</v>
      </c>
      <c r="U178" s="45">
        <f>U167+U173</f>
        <v>170.68431144089243</v>
      </c>
      <c r="V178" s="45"/>
      <c r="W178" s="22">
        <f>AVERAGE(F178:O178)</f>
        <v>310.1772682420807</v>
      </c>
      <c r="X178" s="23">
        <f>AVERAGE(P178:T178)</f>
        <v>358.2338885184421</v>
      </c>
      <c r="Y178" s="66">
        <f>AVERAGE(F178:T178)</f>
        <v>326.1961416675345</v>
      </c>
    </row>
    <row r="179" spans="1:25" ht="15">
      <c r="A179" s="43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22"/>
      <c r="X179" s="23"/>
      <c r="Y179" s="66"/>
    </row>
    <row r="180" spans="1:25" ht="15">
      <c r="A180" s="43"/>
      <c r="B180" s="13" t="s">
        <v>55</v>
      </c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3"/>
      <c r="X180" s="105"/>
      <c r="Y180" s="106"/>
    </row>
    <row r="181" spans="1:25" ht="15">
      <c r="A181" s="43">
        <f>A178-1</f>
        <v>-113</v>
      </c>
      <c r="B181" s="13" t="str">
        <f>"   Direct PCE effect [100*("&amp;-1*A177&amp;")/("&amp;-1*A166&amp;")]"</f>
        <v>   Direct PCE effect [100*(111)/(104)]</v>
      </c>
      <c r="F181" s="107">
        <f aca="true" t="shared" si="62" ref="F181:T181">100*(F177/F166)</f>
        <v>7.84968936574739</v>
      </c>
      <c r="G181" s="107">
        <f t="shared" si="62"/>
        <v>8.152194665857468</v>
      </c>
      <c r="H181" s="107">
        <f t="shared" si="62"/>
        <v>6.174868801428101</v>
      </c>
      <c r="I181" s="107">
        <f t="shared" si="62"/>
        <v>5.285622853175111</v>
      </c>
      <c r="J181" s="107">
        <f t="shared" si="62"/>
        <v>5.003106808663391</v>
      </c>
      <c r="K181" s="107">
        <f t="shared" si="62"/>
        <v>4.546842380535551</v>
      </c>
      <c r="L181" s="107">
        <f t="shared" si="62"/>
        <v>4.187118319785312</v>
      </c>
      <c r="M181" s="107">
        <f t="shared" si="62"/>
        <v>4.913966844447098</v>
      </c>
      <c r="N181" s="107">
        <f t="shared" si="62"/>
        <v>3.1322926784913045</v>
      </c>
      <c r="O181" s="107">
        <f t="shared" si="62"/>
        <v>3.235120268122369</v>
      </c>
      <c r="P181" s="107">
        <f t="shared" si="62"/>
        <v>2.8260537995933346</v>
      </c>
      <c r="Q181" s="107">
        <f t="shared" si="62"/>
        <v>3.6503352089918626</v>
      </c>
      <c r="R181" s="107">
        <f t="shared" si="62"/>
        <v>3.7772174575720157</v>
      </c>
      <c r="S181" s="107">
        <f t="shared" si="62"/>
        <v>3.9658972212531305</v>
      </c>
      <c r="T181" s="107">
        <f t="shared" si="62"/>
        <v>1.6303155180949718</v>
      </c>
      <c r="U181" s="107">
        <f>100*(U177/U166)</f>
        <v>0.47907253369531244</v>
      </c>
      <c r="V181" s="107"/>
      <c r="W181" s="103">
        <f>AVERAGE(F181:O181)</f>
        <v>5.248082298625309</v>
      </c>
      <c r="X181" s="105">
        <f>AVERAGE(P181:T181)</f>
        <v>3.169963841101063</v>
      </c>
      <c r="Y181" s="106">
        <f>AVERAGE(F181:T181)</f>
        <v>4.555376146117227</v>
      </c>
    </row>
    <row r="182" spans="1:25" ht="15">
      <c r="A182" s="43">
        <f>A181-1</f>
        <v>-114</v>
      </c>
      <c r="B182" s="13" t="str">
        <f>"      Repayment of non-mortgage debt [100*("&amp;-1*A178&amp;")/("&amp;-1*A166&amp;")]"</f>
        <v>      Repayment of non-mortgage debt [100*(112)/(104)]</v>
      </c>
      <c r="F182" s="107">
        <f aca="true" t="shared" si="63" ref="F182:T182">100*F178/F166</f>
        <v>8.120691054924643</v>
      </c>
      <c r="G182" s="107">
        <f t="shared" si="63"/>
        <v>8.390727792753525</v>
      </c>
      <c r="H182" s="107">
        <f t="shared" si="63"/>
        <v>6.429375900077288</v>
      </c>
      <c r="I182" s="107">
        <f t="shared" si="63"/>
        <v>5.646415568420422</v>
      </c>
      <c r="J182" s="107">
        <f t="shared" si="63"/>
        <v>5.3016811762798675</v>
      </c>
      <c r="K182" s="107">
        <f t="shared" si="63"/>
        <v>4.981936058526907</v>
      </c>
      <c r="L182" s="107">
        <f t="shared" si="63"/>
        <v>4.670261987854462</v>
      </c>
      <c r="M182" s="107">
        <f t="shared" si="63"/>
        <v>5.422635073165847</v>
      </c>
      <c r="N182" s="107">
        <f t="shared" si="63"/>
        <v>3.7244057698499304</v>
      </c>
      <c r="O182" s="107">
        <f t="shared" si="63"/>
        <v>4.001431641990824</v>
      </c>
      <c r="P182" s="107">
        <f t="shared" si="63"/>
        <v>3.647473071348513</v>
      </c>
      <c r="Q182" s="107">
        <f t="shared" si="63"/>
        <v>4.556885250001255</v>
      </c>
      <c r="R182" s="107">
        <f t="shared" si="63"/>
        <v>4.92288101162416</v>
      </c>
      <c r="S182" s="107">
        <f t="shared" si="63"/>
        <v>5.396793821719597</v>
      </c>
      <c r="T182" s="107">
        <f t="shared" si="63"/>
        <v>3.2195767987363695</v>
      </c>
      <c r="U182" s="107">
        <f>100*U178/U166</f>
        <v>1.792315661093715</v>
      </c>
      <c r="V182" s="107"/>
      <c r="W182" s="103">
        <f>AVERAGE(F182:O182)</f>
        <v>5.668956202384371</v>
      </c>
      <c r="X182" s="105">
        <f>AVERAGE(P182:T182)</f>
        <v>4.348721990685979</v>
      </c>
      <c r="Y182" s="106">
        <f>AVERAGE(F182:T182)</f>
        <v>5.22887813181824</v>
      </c>
    </row>
    <row r="183" spans="1:25" ht="15">
      <c r="A183" s="43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3"/>
      <c r="X183" s="105"/>
      <c r="Y183" s="106"/>
    </row>
  </sheetData>
  <mergeCells count="7">
    <mergeCell ref="B4:D5"/>
    <mergeCell ref="K142:K143"/>
    <mergeCell ref="L142:L143"/>
    <mergeCell ref="B157:D158"/>
    <mergeCell ref="B27:D28"/>
    <mergeCell ref="B30:D31"/>
    <mergeCell ref="B112:D113"/>
  </mergeCells>
  <printOptions/>
  <pageMargins left="0.66" right="0.58" top="1.08" bottom="0.43" header="0.37" footer="0.19"/>
  <pageSetup horizontalDpi="600" verticalDpi="600" orientation="landscape" pageOrder="overThenDown" scale="65" r:id="rId1"/>
  <headerFooter alignWithMargins="0">
    <oddHeader>&amp;C&amp;"Arial,Bold"Table 2
Sources and Uses of Equity Extracted from Homes&amp;"Arial,Regular"
(billions of dollars, except where noted)</oddHeader>
    <oddFooter>&amp;L&amp;10See the appendix for a description of the data.</oddFooter>
  </headerFooter>
  <rowBreaks count="6" manualBreakCount="6">
    <brk id="33" max="255" man="1"/>
    <brk id="66" max="255" man="1"/>
    <brk id="114" max="255" man="1"/>
    <brk id="155" max="255" man="1"/>
    <brk id="183" max="255" man="1"/>
    <brk id="2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Sources and Uses of Equity Extracted from Homes</dc:title>
  <dc:subject/>
  <dc:creator>Jim Kennedy II</dc:creator>
  <cp:keywords/>
  <dc:description/>
  <cp:lastModifiedBy>Damian Thomas</cp:lastModifiedBy>
  <cp:lastPrinted>2007-03-01T20:48:39Z</cp:lastPrinted>
  <dcterms:created xsi:type="dcterms:W3CDTF">2006-11-17T18:02:36Z</dcterms:created>
  <dcterms:modified xsi:type="dcterms:W3CDTF">2007-04-25T14:21:44Z</dcterms:modified>
  <cp:category/>
  <cp:version/>
  <cp:contentType/>
  <cp:contentStatus/>
</cp:coreProperties>
</file>